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<sst xmlns="http://schemas.openxmlformats.org/spreadsheetml/2006/main" count="444" uniqueCount="198">
  <si>
    <t>ОТЧЕТ ОБ ИСПОЛНЕНИИ БЮДЖЕТА</t>
  </si>
  <si>
    <t>КОДЫ</t>
  </si>
  <si>
    <t xml:space="preserve">Форма по ОКУД </t>
  </si>
  <si>
    <t>0503117</t>
  </si>
  <si>
    <t>на 1 ноября 2022 г.</t>
  </si>
  <si>
    <t xml:space="preserve">Дата </t>
  </si>
  <si>
    <t>Наименование финансового органа</t>
  </si>
  <si>
    <t>Администрация Середского  СП ЯО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</si>
  <si>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</si>
  <si>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</si>
  <si>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</si>
  <si>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</si>
  <si>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Середского СП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</si>
  <si>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</si>
  <si>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</si>
  <si>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</si>
  <si>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</si>
  <si>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</si>
  <si>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</si>
  <si>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</si>
  <si>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</si>
  <si>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</si>
  <si>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</si>
  <si>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</si>
  <si>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</si>
  <si>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</si>
  <si>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</si>
  <si>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</si>
  <si>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</si>
  <si>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</si>
  <si>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</si>
  <si>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</si>
  <si>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</si>
  <si>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</si>
  <si>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</si>
  <si>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</si>
  <si>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</si>
  <si>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</si>
  <si>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</si>
  <si>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</si>
  <si>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</si>
  <si>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</si>
  <si>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</si>
  <si>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</si>
  <si>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</si>
  <si>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</si>
  <si>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</si>
  <si>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</si>
  <si>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</si>
  <si>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</si>
  <si>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</si>
  <si>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</si>
  <si>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</si>
  <si>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</si>
  <si>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</si>
  <si>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</si>
  <si>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</si>
  <si>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</si>
  <si>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</si>
  <si>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</si>
  <si>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</si>
  <si>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</si>
  <si>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</si>
  <si>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806 20805000 10 0000 150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</si>
  <si>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</si>
  <si>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</si>
  <si>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</si>
  <si>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820 11105025 10 0000 120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</si>
  <si>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</si>
  <si>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820 11105035 10 0000 120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</si>
  <si>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</si>
  <si>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820 11109045 10 0000 120</t>
  </si>
  <si>
    <t>Прочие доходы от компенсации затрат бюджетов сельских поселений</t>
  </si>
  <si>
    <t>820 11302995 10 0000 130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</si>
  <si>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</si>
  <si>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820 11406025 10 0000 430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</si>
  <si>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</si>
  <si>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820 11607010 10 0000 140</t>
  </si>
  <si>
    <t>Невыясненные поступления, зачисляемые в бюджеты сельских поселений</t>
  </si>
  <si>
    <t>820 11701050 10 0000 180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</si>
  <si>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</si>
  <si>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820 20215001 10 0000 150</t>
  </si>
  <si>
    <t>Прочие дотации бюджетам сельских поселений</t>
  </si>
  <si>
    <t>820 20219999 10 0000 150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</si>
  <si>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</si>
  <si>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820 20220041 10 0000 150</t>
  </si>
  <si>
    <t>Субсидии бюджетам сельских поселений на реализацию мероприятий по обеспечению жильем молодых семей</t>
  </si>
  <si>
    <t>820 20225497 10 0000 150</t>
  </si>
  <si>
    <t>Прочие субсидии бюджетам сельских поселений</t>
  </si>
  <si>
    <t>820 20229999 10 0000 150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</si>
  <si>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</si>
  <si>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820 20235118 10 0000 150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</si>
  <si>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</si>
  <si>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820 20240014 10 0000 150</t>
  </si>
  <si>
    <t>Прочие межбюджетные трансферты, передаваемые бюджетам сельских поселений</t>
  </si>
  <si>
    <t>820 20249999 10 0000 150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</si>
  <si>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</si>
  <si>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</si>
  <si>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</si>
  <si>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</si>
  <si>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</si>
  <si>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820 0102 5000013020 121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</si>
  <si>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</si>
  <si>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820 0102 5000013020 129</t>
  </si>
  <si>
    <t>820 0104 5000013040 121</t>
  </si>
  <si>
    <t>Иные выплаты персоналу государственных (муниципальных) органов, за исключением фонда оплаты труда</t>
  </si>
  <si>
    <t>820 0104 5000013040 122</t>
  </si>
  <si>
    <t>820 0104 5000013040 129</t>
  </si>
  <si>
    <t>Прочая закупка товаров, работ и услуг</t>
  </si>
  <si>
    <t>820 0104 5000013040 244</t>
  </si>
  <si>
    <t>Закупка энергетических ресурсов</t>
  </si>
  <si>
    <t>820 0104 5000013040 247</t>
  </si>
  <si>
    <t>Уплата налога на имущество организаций и земельного налога</t>
  </si>
  <si>
    <t>820 0104 5000013040 851</t>
  </si>
  <si>
    <t>Уплата прочих налогов, сборов</t>
  </si>
  <si>
    <t>820 0104 5000013040 852</t>
  </si>
  <si>
    <t>Уплата иных платежей</t>
  </si>
  <si>
    <t>820 0104 5000013040 853</t>
  </si>
  <si>
    <t>Резервные средства</t>
  </si>
  <si>
    <t>820 0111 5000013090 870</t>
  </si>
  <si>
    <t>820 0113 2310113010 244</t>
  </si>
  <si>
    <t>820 0113 3010113010 244</t>
  </si>
  <si>
    <t>820 0113 3610113100 244</t>
  </si>
  <si>
    <t>Иные межбюджетные трансферты</t>
  </si>
  <si>
    <t>820 0113 5000013050 540</t>
  </si>
  <si>
    <t>820 0113 5000013060 244</t>
  </si>
  <si>
    <t>820 0113 5000013060 247</t>
  </si>
  <si>
    <t>820 0113 5000013060 853</t>
  </si>
  <si>
    <t>820 0203 5000051180 121</t>
  </si>
  <si>
    <t>820 0203 5000051180 129</t>
  </si>
  <si>
    <t>820 0203 5000051180 244</t>
  </si>
  <si>
    <t>820 0309 0810113180 244</t>
  </si>
  <si>
    <t>820 0309 0810213190 244</t>
  </si>
  <si>
    <t>820 0309 0810313200 244</t>
  </si>
  <si>
    <t>820 0309 1010113070 244</t>
  </si>
  <si>
    <t>820 0310 4010113010 244</t>
  </si>
  <si>
    <t>820 0409 2410110220 244</t>
  </si>
  <si>
    <t>820 0409 2410113010 244</t>
  </si>
  <si>
    <t>820 0409 2410172440 244</t>
  </si>
  <si>
    <t>820 0409 2410175620 244</t>
  </si>
  <si>
    <t>820 0409 2410177350 244</t>
  </si>
  <si>
    <t>820 0412 2520113880 540</t>
  </si>
  <si>
    <t>820 0412 2520172880 540</t>
  </si>
  <si>
    <t>820 0501 1410113010 244</t>
  </si>
  <si>
    <t>820 0502 1410210020 244</t>
  </si>
  <si>
    <t>Бюджетные инвестиции в объекты капитального строительства государственной (муниципальной) собственности</t>
  </si>
  <si>
    <t>820 0502 1410210020 414</t>
  </si>
  <si>
    <t>820 0503 1410313010 244</t>
  </si>
  <si>
    <t>820 0503 1410313010 247</t>
  </si>
  <si>
    <t>820 0503 1410413030 244</t>
  </si>
  <si>
    <t>820 0503 1410413080 244</t>
  </si>
  <si>
    <t>820 0503 1410413120 244</t>
  </si>
  <si>
    <t>820 0503 1410516900 244</t>
  </si>
  <si>
    <t>820 0503 1410576900 244</t>
  </si>
  <si>
    <t>820 0503 2510113210 244</t>
  </si>
  <si>
    <t>820 0503 2510170410 244</t>
  </si>
  <si>
    <t>820 0707 1310113010 244</t>
  </si>
  <si>
    <t>820 0801 1310113010 244</t>
  </si>
  <si>
    <t>820 0801 5000013050 540</t>
  </si>
  <si>
    <t>Иные пенсии, социальные доплаты к пенсиям</t>
  </si>
  <si>
    <t>820 1001 5000013160 312</t>
  </si>
  <si>
    <t>Субсидии гражданам на приобретение жилья</t>
  </si>
  <si>
    <t>820 1003 05101L4970 322</t>
  </si>
  <si>
    <t>820 1003 1410875880 244</t>
  </si>
  <si>
    <t>Приобретение товаров, работ, услуг в пользу граждан в целях их социального обеспечения</t>
  </si>
  <si>
    <t>820 1003 1410875880 323</t>
  </si>
  <si>
    <t>Пособия, компенсации, меры социальной поддержки по публичным нормативным обязательствам</t>
  </si>
  <si>
    <t>820 1003 5000013170 313</t>
  </si>
  <si>
    <t>820 1004 05101L4970 322</t>
  </si>
  <si>
    <t>820 1102 1310113010 244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</si>
  <si>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</si>
  <si>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</si>
  <si>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</si>
  <si>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</si>
  <si>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</si>
  <si>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</si>
  <si>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</si>
  <si>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</si>
  <si>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</si>
  <si>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</si>
  <si>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</si>
  <si>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</si>
  <si>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</si>
  <si>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</si>
  <si>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</si>
  <si>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</si>
  <si>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820 01050201 10 0000 510</t>
  </si>
  <si>
    <t xml:space="preserve">     уменьшение остатков средств</t>
  </si>
  <si>
    <t>720</t>
  </si>
  <si>
    <t>820 01050201 10 0000 610</t>
  </si>
  <si>
    <t>Прудова Л. А.</t>
  </si>
  <si>
    <t>(подпись)</t>
  </si>
  <si>
    <t>(расшифровка подписи)</t>
  </si>
  <si>
    <t>Смирнова Т. А.</t>
  </si>
  <si>
    <t>Исполнитель:</t>
  </si>
  <si>
    <t>(должность)</t>
  </si>
  <si>
    <t xml:space="preserve">   10 февраля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</si>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</sst>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"/>
  <sheetViews>
    <sheetView tabSelected="1" zoomScalePageLayoutView="0" workbookViewId="0" topLeftCell="A4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44866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14</v>
      </c>
    </row>
    <row r="7" spans="1:24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17</v>
      </c>
      <c r="B8" s="10"/>
      <c r="C8" s="10"/>
      <c r="D8" s="10"/>
      <c r="E8" s="10" t="s">
        <v>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19</v>
      </c>
      <c r="U8" s="9"/>
      <c r="V8" s="9"/>
      <c r="W8" s="9"/>
      <c r="X8" s="7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39536235</f>
        <v>39536235</v>
      </c>
      <c r="Q12" s="21"/>
      <c r="R12" s="21"/>
      <c r="S12" s="21">
        <f>26693613.82</f>
        <v>26693613.82</v>
      </c>
      <c r="T12" s="21"/>
      <c r="U12" s="21"/>
      <c r="V12" s="21"/>
      <c r="W12" s="22">
        <f>12842621.18</f>
        <v>12842621.18</v>
      </c>
      <c r="X12" s="22"/>
    </row>
    <row r="13" spans="1:24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1600000</f>
        <v>1600000</v>
      </c>
      <c r="Q13" s="25"/>
      <c r="R13" s="25"/>
      <c r="S13" s="25">
        <f>1779523.91</f>
        <v>1779523.91</v>
      </c>
      <c r="T13" s="25"/>
      <c r="U13" s="25"/>
      <c r="V13" s="25"/>
      <c r="W13" s="26" t="s">
        <v>39</v>
      </c>
      <c r="X13" s="26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41</v>
      </c>
      <c r="O14" s="24"/>
      <c r="P14" s="25">
        <f>10000</f>
        <v>10000</v>
      </c>
      <c r="Q14" s="25"/>
      <c r="R14" s="25"/>
      <c r="S14" s="25">
        <f>9983.32</f>
        <v>9983.32</v>
      </c>
      <c r="T14" s="25"/>
      <c r="U14" s="25"/>
      <c r="V14" s="25"/>
      <c r="W14" s="27">
        <f>16.68</f>
        <v>16.68</v>
      </c>
      <c r="X14" s="27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43</v>
      </c>
      <c r="O15" s="24"/>
      <c r="P15" s="25">
        <f>2190000</f>
        <v>2190000</v>
      </c>
      <c r="Q15" s="25"/>
      <c r="R15" s="25"/>
      <c r="S15" s="25">
        <f>2021825.86</f>
        <v>2021825.86</v>
      </c>
      <c r="T15" s="25"/>
      <c r="U15" s="25"/>
      <c r="V15" s="25"/>
      <c r="W15" s="27">
        <f>168174.14</f>
        <v>168174.14</v>
      </c>
      <c r="X15" s="27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45</v>
      </c>
      <c r="O16" s="24"/>
      <c r="P16" s="25">
        <f>-200000</f>
        <v>-200000</v>
      </c>
      <c r="Q16" s="25"/>
      <c r="R16" s="25"/>
      <c r="S16" s="25">
        <f>-205789.37</f>
        <v>-205789.37</v>
      </c>
      <c r="T16" s="25"/>
      <c r="U16" s="25"/>
      <c r="V16" s="25"/>
      <c r="W16" s="26" t="s">
        <v>39</v>
      </c>
      <c r="X16" s="26"/>
    </row>
    <row r="17" spans="1:24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5">
        <f>178000</f>
        <v>178000</v>
      </c>
      <c r="Q17" s="25"/>
      <c r="R17" s="25"/>
      <c r="S17" s="25">
        <f>117199.15</f>
        <v>117199.15</v>
      </c>
      <c r="T17" s="25"/>
      <c r="U17" s="25"/>
      <c r="V17" s="25"/>
      <c r="W17" s="27">
        <f>60800.85</f>
        <v>60800.85</v>
      </c>
      <c r="X17" s="27"/>
    </row>
    <row r="18" spans="1:24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8" t="s">
        <v>39</v>
      </c>
      <c r="Q18" s="28"/>
      <c r="R18" s="28"/>
      <c r="S18" s="25">
        <f>173.61</f>
        <v>173.61</v>
      </c>
      <c r="T18" s="25"/>
      <c r="U18" s="25"/>
      <c r="V18" s="25"/>
      <c r="W18" s="26" t="s">
        <v>39</v>
      </c>
      <c r="X18" s="26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8" t="s">
        <v>39</v>
      </c>
      <c r="Q19" s="28"/>
      <c r="R19" s="28"/>
      <c r="S19" s="25">
        <f>4149.87</f>
        <v>4149.87</v>
      </c>
      <c r="T19" s="25"/>
      <c r="U19" s="25"/>
      <c r="V19" s="25"/>
      <c r="W19" s="26" t="s">
        <v>39</v>
      </c>
      <c r="X19" s="26"/>
    </row>
    <row r="20" spans="1:24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5">
        <f>11000</f>
        <v>11000</v>
      </c>
      <c r="Q20" s="25"/>
      <c r="R20" s="25"/>
      <c r="S20" s="25">
        <f>42981.6</f>
        <v>42981.6</v>
      </c>
      <c r="T20" s="25"/>
      <c r="U20" s="25"/>
      <c r="V20" s="25"/>
      <c r="W20" s="26" t="s">
        <v>39</v>
      </c>
      <c r="X20" s="26"/>
    </row>
    <row r="21" spans="1:24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55</v>
      </c>
      <c r="O21" s="24"/>
      <c r="P21" s="25">
        <f>115000</f>
        <v>115000</v>
      </c>
      <c r="Q21" s="25"/>
      <c r="R21" s="25"/>
      <c r="S21" s="25">
        <f>157322.66</f>
        <v>157322.66</v>
      </c>
      <c r="T21" s="25"/>
      <c r="U21" s="25"/>
      <c r="V21" s="25"/>
      <c r="W21" s="26" t="s">
        <v>39</v>
      </c>
      <c r="X21" s="26"/>
    </row>
    <row r="22" spans="1:24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57</v>
      </c>
      <c r="O22" s="24"/>
      <c r="P22" s="25">
        <f>2200000</f>
        <v>2200000</v>
      </c>
      <c r="Q22" s="25"/>
      <c r="R22" s="25"/>
      <c r="S22" s="25">
        <f>2143554.24</f>
        <v>2143554.24</v>
      </c>
      <c r="T22" s="25"/>
      <c r="U22" s="25"/>
      <c r="V22" s="25"/>
      <c r="W22" s="27">
        <f>56445.76</f>
        <v>56445.76</v>
      </c>
      <c r="X22" s="27"/>
    </row>
    <row r="23" spans="1:24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59</v>
      </c>
      <c r="O23" s="24"/>
      <c r="P23" s="25">
        <f>1800000</f>
        <v>1800000</v>
      </c>
      <c r="Q23" s="25"/>
      <c r="R23" s="25"/>
      <c r="S23" s="25">
        <f>1182817</f>
        <v>1182817</v>
      </c>
      <c r="T23" s="25"/>
      <c r="U23" s="25"/>
      <c r="V23" s="25"/>
      <c r="W23" s="27">
        <f>617183</f>
        <v>617183</v>
      </c>
      <c r="X23" s="27"/>
    </row>
    <row r="24" spans="1:24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61</v>
      </c>
      <c r="O24" s="24"/>
      <c r="P24" s="28" t="s">
        <v>39</v>
      </c>
      <c r="Q24" s="28"/>
      <c r="R24" s="28"/>
      <c r="S24" s="25">
        <f>-197.22</f>
        <v>-197.22</v>
      </c>
      <c r="T24" s="25"/>
      <c r="U24" s="25"/>
      <c r="V24" s="25"/>
      <c r="W24" s="26" t="s">
        <v>39</v>
      </c>
      <c r="X24" s="26"/>
    </row>
    <row r="25" spans="1:24" s="1" customFormat="1" ht="54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63</v>
      </c>
      <c r="O25" s="24"/>
      <c r="P25" s="28" t="s">
        <v>39</v>
      </c>
      <c r="Q25" s="28"/>
      <c r="R25" s="28"/>
      <c r="S25" s="25">
        <f>0</f>
        <v>0</v>
      </c>
      <c r="T25" s="25"/>
      <c r="U25" s="25"/>
      <c r="V25" s="25"/>
      <c r="W25" s="26" t="s">
        <v>39</v>
      </c>
      <c r="X25" s="26"/>
    </row>
    <row r="26" spans="1:24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65</v>
      </c>
      <c r="O26" s="24"/>
      <c r="P26" s="25">
        <f>5000</f>
        <v>5000</v>
      </c>
      <c r="Q26" s="25"/>
      <c r="R26" s="25"/>
      <c r="S26" s="25">
        <f>4700</f>
        <v>4700</v>
      </c>
      <c r="T26" s="25"/>
      <c r="U26" s="25"/>
      <c r="V26" s="25"/>
      <c r="W26" s="27">
        <f>300</f>
        <v>300</v>
      </c>
      <c r="X26" s="27"/>
    </row>
    <row r="27" spans="1:24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67</v>
      </c>
      <c r="O27" s="24"/>
      <c r="P27" s="25">
        <f>50000</f>
        <v>50000</v>
      </c>
      <c r="Q27" s="25"/>
      <c r="R27" s="25"/>
      <c r="S27" s="25">
        <f>29048.94</f>
        <v>29048.94</v>
      </c>
      <c r="T27" s="25"/>
      <c r="U27" s="25"/>
      <c r="V27" s="25"/>
      <c r="W27" s="27">
        <f>20951.06</f>
        <v>20951.06</v>
      </c>
      <c r="X27" s="27"/>
    </row>
    <row r="28" spans="1:24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69</v>
      </c>
      <c r="O28" s="24"/>
      <c r="P28" s="25">
        <f>40000</f>
        <v>40000</v>
      </c>
      <c r="Q28" s="25"/>
      <c r="R28" s="25"/>
      <c r="S28" s="25">
        <f>33936</f>
        <v>33936</v>
      </c>
      <c r="T28" s="25"/>
      <c r="U28" s="25"/>
      <c r="V28" s="25"/>
      <c r="W28" s="27">
        <f>6064</f>
        <v>6064</v>
      </c>
      <c r="X28" s="27"/>
    </row>
    <row r="29" spans="1:24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71</v>
      </c>
      <c r="O29" s="24"/>
      <c r="P29" s="25">
        <f>40000</f>
        <v>40000</v>
      </c>
      <c r="Q29" s="25"/>
      <c r="R29" s="25"/>
      <c r="S29" s="25">
        <f>15957.4</f>
        <v>15957.4</v>
      </c>
      <c r="T29" s="25"/>
      <c r="U29" s="25"/>
      <c r="V29" s="25"/>
      <c r="W29" s="27">
        <f>24042.6</f>
        <v>24042.6</v>
      </c>
      <c r="X29" s="27"/>
    </row>
    <row r="30" spans="1:24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73</v>
      </c>
      <c r="O30" s="24"/>
      <c r="P30" s="25">
        <f>50000</f>
        <v>50000</v>
      </c>
      <c r="Q30" s="25"/>
      <c r="R30" s="25"/>
      <c r="S30" s="25">
        <f>136220.91</f>
        <v>136220.91</v>
      </c>
      <c r="T30" s="25"/>
      <c r="U30" s="25"/>
      <c r="V30" s="25"/>
      <c r="W30" s="26" t="s">
        <v>39</v>
      </c>
      <c r="X30" s="26"/>
    </row>
    <row r="31" spans="1:24" s="1" customFormat="1" ht="33.7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75</v>
      </c>
      <c r="O31" s="24"/>
      <c r="P31" s="25">
        <f>100000</f>
        <v>100000</v>
      </c>
      <c r="Q31" s="25"/>
      <c r="R31" s="25"/>
      <c r="S31" s="25">
        <f>10598.22</f>
        <v>10598.22</v>
      </c>
      <c r="T31" s="25"/>
      <c r="U31" s="25"/>
      <c r="V31" s="25"/>
      <c r="W31" s="27">
        <f>89401.78</f>
        <v>89401.78</v>
      </c>
      <c r="X31" s="27"/>
    </row>
    <row r="32" spans="1:24" s="1" customFormat="1" ht="4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35</v>
      </c>
      <c r="M32" s="24"/>
      <c r="N32" s="24" t="s">
        <v>77</v>
      </c>
      <c r="O32" s="24"/>
      <c r="P32" s="28" t="s">
        <v>39</v>
      </c>
      <c r="Q32" s="28"/>
      <c r="R32" s="28"/>
      <c r="S32" s="25">
        <f>10676.62</f>
        <v>10676.62</v>
      </c>
      <c r="T32" s="25"/>
      <c r="U32" s="25"/>
      <c r="V32" s="25"/>
      <c r="W32" s="26" t="s">
        <v>39</v>
      </c>
      <c r="X32" s="26"/>
    </row>
    <row r="33" spans="1:24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35</v>
      </c>
      <c r="M33" s="24"/>
      <c r="N33" s="24" t="s">
        <v>79</v>
      </c>
      <c r="O33" s="24"/>
      <c r="P33" s="28" t="s">
        <v>39</v>
      </c>
      <c r="Q33" s="28"/>
      <c r="R33" s="28"/>
      <c r="S33" s="25">
        <f>0</f>
        <v>0</v>
      </c>
      <c r="T33" s="25"/>
      <c r="U33" s="25"/>
      <c r="V33" s="25"/>
      <c r="W33" s="26" t="s">
        <v>39</v>
      </c>
      <c r="X33" s="26"/>
    </row>
    <row r="34" spans="1:24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35</v>
      </c>
      <c r="M34" s="24"/>
      <c r="N34" s="24" t="s">
        <v>81</v>
      </c>
      <c r="O34" s="24"/>
      <c r="P34" s="25">
        <f>8088000</f>
        <v>8088000</v>
      </c>
      <c r="Q34" s="25"/>
      <c r="R34" s="25"/>
      <c r="S34" s="25">
        <f>6730500</f>
        <v>6730500</v>
      </c>
      <c r="T34" s="25"/>
      <c r="U34" s="25"/>
      <c r="V34" s="25"/>
      <c r="W34" s="27">
        <f>1357500</f>
        <v>1357500</v>
      </c>
      <c r="X34" s="27"/>
    </row>
    <row r="35" spans="1:24" s="1" customFormat="1" ht="13.5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35</v>
      </c>
      <c r="M35" s="24"/>
      <c r="N35" s="24" t="s">
        <v>83</v>
      </c>
      <c r="O35" s="24"/>
      <c r="P35" s="25">
        <f>140000</f>
        <v>140000</v>
      </c>
      <c r="Q35" s="25"/>
      <c r="R35" s="25"/>
      <c r="S35" s="25">
        <f>146002</f>
        <v>146002</v>
      </c>
      <c r="T35" s="25"/>
      <c r="U35" s="25"/>
      <c r="V35" s="25"/>
      <c r="W35" s="26" t="s">
        <v>39</v>
      </c>
      <c r="X35" s="26"/>
    </row>
    <row r="36" spans="1:24" s="1" customFormat="1" ht="45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35</v>
      </c>
      <c r="M36" s="24"/>
      <c r="N36" s="24" t="s">
        <v>85</v>
      </c>
      <c r="O36" s="24"/>
      <c r="P36" s="25">
        <f>5160444</f>
        <v>5160444</v>
      </c>
      <c r="Q36" s="25"/>
      <c r="R36" s="25"/>
      <c r="S36" s="25">
        <f>5156170.68</f>
        <v>5156170.68</v>
      </c>
      <c r="T36" s="25"/>
      <c r="U36" s="25"/>
      <c r="V36" s="25"/>
      <c r="W36" s="27">
        <f>4273.32</f>
        <v>4273.32</v>
      </c>
      <c r="X36" s="27"/>
    </row>
    <row r="37" spans="1:24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35</v>
      </c>
      <c r="M37" s="24"/>
      <c r="N37" s="24" t="s">
        <v>87</v>
      </c>
      <c r="O37" s="24"/>
      <c r="P37" s="25">
        <f>363995</f>
        <v>363995</v>
      </c>
      <c r="Q37" s="25"/>
      <c r="R37" s="25"/>
      <c r="S37" s="25">
        <f>350335.83</f>
        <v>350335.83</v>
      </c>
      <c r="T37" s="25"/>
      <c r="U37" s="25"/>
      <c r="V37" s="25"/>
      <c r="W37" s="27">
        <f>13659.17</f>
        <v>13659.17</v>
      </c>
      <c r="X37" s="27"/>
    </row>
    <row r="38" spans="1:24" s="1" customFormat="1" ht="13.5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35</v>
      </c>
      <c r="M38" s="24"/>
      <c r="N38" s="24" t="s">
        <v>89</v>
      </c>
      <c r="O38" s="24"/>
      <c r="P38" s="25">
        <f>441877</f>
        <v>441877</v>
      </c>
      <c r="Q38" s="25"/>
      <c r="R38" s="25"/>
      <c r="S38" s="25">
        <f>47306</f>
        <v>47306</v>
      </c>
      <c r="T38" s="25"/>
      <c r="U38" s="25"/>
      <c r="V38" s="25"/>
      <c r="W38" s="27">
        <f>394571</f>
        <v>394571</v>
      </c>
      <c r="X38" s="27"/>
    </row>
    <row r="39" spans="1:24" s="1" customFormat="1" ht="33.75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35</v>
      </c>
      <c r="M39" s="24"/>
      <c r="N39" s="24" t="s">
        <v>91</v>
      </c>
      <c r="O39" s="24"/>
      <c r="P39" s="25">
        <f>243919</f>
        <v>243919</v>
      </c>
      <c r="Q39" s="25"/>
      <c r="R39" s="25"/>
      <c r="S39" s="25">
        <f>182442.42</f>
        <v>182442.42</v>
      </c>
      <c r="T39" s="25"/>
      <c r="U39" s="25"/>
      <c r="V39" s="25"/>
      <c r="W39" s="27">
        <f>61476.58</f>
        <v>61476.58</v>
      </c>
      <c r="X39" s="27"/>
    </row>
    <row r="40" spans="1:24" s="1" customFormat="1" ht="45" customHeight="1">
      <c r="A40" s="23" t="s">
        <v>92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35</v>
      </c>
      <c r="M40" s="24"/>
      <c r="N40" s="24" t="s">
        <v>93</v>
      </c>
      <c r="O40" s="24"/>
      <c r="P40" s="25">
        <f>13780000</f>
        <v>13780000</v>
      </c>
      <c r="Q40" s="25"/>
      <c r="R40" s="25"/>
      <c r="S40" s="25">
        <f>3494687.77</f>
        <v>3494687.77</v>
      </c>
      <c r="T40" s="25"/>
      <c r="U40" s="25"/>
      <c r="V40" s="25"/>
      <c r="W40" s="27">
        <f>10285312.23</f>
        <v>10285312.23</v>
      </c>
      <c r="X40" s="27"/>
    </row>
    <row r="41" spans="1:24" s="1" customFormat="1" ht="24" customHeight="1">
      <c r="A41" s="23" t="s">
        <v>94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35</v>
      </c>
      <c r="M41" s="24"/>
      <c r="N41" s="24" t="s">
        <v>95</v>
      </c>
      <c r="O41" s="24"/>
      <c r="P41" s="25">
        <f>3129000</f>
        <v>3129000</v>
      </c>
      <c r="Q41" s="25"/>
      <c r="R41" s="25"/>
      <c r="S41" s="25">
        <f>3091486.4</f>
        <v>3091486.4</v>
      </c>
      <c r="T41" s="25"/>
      <c r="U41" s="25"/>
      <c r="V41" s="25"/>
      <c r="W41" s="27">
        <f>37513.6</f>
        <v>37513.6</v>
      </c>
      <c r="X41" s="27"/>
    </row>
    <row r="42" spans="1:24" s="1" customFormat="1" ht="13.5" customHeight="1">
      <c r="A42" s="29" t="s">
        <v>10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1" customFormat="1" ht="13.5" customHeight="1">
      <c r="A43" s="12" t="s">
        <v>96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" customFormat="1" ht="34.5" customHeight="1">
      <c r="A44" s="13" t="s">
        <v>22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 t="s">
        <v>23</v>
      </c>
      <c r="M44" s="13"/>
      <c r="N44" s="13" t="s">
        <v>97</v>
      </c>
      <c r="O44" s="13"/>
      <c r="P44" s="14" t="s">
        <v>25</v>
      </c>
      <c r="Q44" s="14"/>
      <c r="R44" s="14"/>
      <c r="S44" s="14" t="s">
        <v>26</v>
      </c>
      <c r="T44" s="14"/>
      <c r="U44" s="14"/>
      <c r="V44" s="14"/>
      <c r="W44" s="15" t="s">
        <v>27</v>
      </c>
      <c r="X44" s="15"/>
    </row>
    <row r="45" spans="1:24" s="1" customFormat="1" ht="13.5" customHeight="1">
      <c r="A45" s="16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 t="s">
        <v>29</v>
      </c>
      <c r="M45" s="16"/>
      <c r="N45" s="16" t="s">
        <v>30</v>
      </c>
      <c r="O45" s="16"/>
      <c r="P45" s="17" t="s">
        <v>31</v>
      </c>
      <c r="Q45" s="17"/>
      <c r="R45" s="17"/>
      <c r="S45" s="17" t="s">
        <v>32</v>
      </c>
      <c r="T45" s="17"/>
      <c r="U45" s="17"/>
      <c r="V45" s="17"/>
      <c r="W45" s="18" t="s">
        <v>33</v>
      </c>
      <c r="X45" s="18"/>
    </row>
    <row r="46" spans="1:24" s="1" customFormat="1" ht="13.5" customHeight="1">
      <c r="A46" s="19" t="s">
        <v>98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 t="s">
        <v>99</v>
      </c>
      <c r="M46" s="20"/>
      <c r="N46" s="20" t="s">
        <v>36</v>
      </c>
      <c r="O46" s="20"/>
      <c r="P46" s="21">
        <f>41619498.44</f>
        <v>41619498.44</v>
      </c>
      <c r="Q46" s="21"/>
      <c r="R46" s="21"/>
      <c r="S46" s="21">
        <f>27109253.37</f>
        <v>27109253.37</v>
      </c>
      <c r="T46" s="21"/>
      <c r="U46" s="21"/>
      <c r="V46" s="21"/>
      <c r="W46" s="22">
        <f>14510245.07</f>
        <v>14510245.07</v>
      </c>
      <c r="X46" s="22"/>
    </row>
    <row r="47" spans="1:24" s="1" customFormat="1" ht="13.5" customHeight="1">
      <c r="A47" s="30" t="s">
        <v>100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99</v>
      </c>
      <c r="M47" s="31"/>
      <c r="N47" s="31" t="s">
        <v>101</v>
      </c>
      <c r="O47" s="31"/>
      <c r="P47" s="32">
        <f>700277.28</f>
        <v>700277.28</v>
      </c>
      <c r="Q47" s="32"/>
      <c r="R47" s="32"/>
      <c r="S47" s="32">
        <f>560243</f>
        <v>560243</v>
      </c>
      <c r="T47" s="32"/>
      <c r="U47" s="32"/>
      <c r="V47" s="32"/>
      <c r="W47" s="33">
        <f>140034.28</f>
        <v>140034.28</v>
      </c>
      <c r="X47" s="33"/>
    </row>
    <row r="48" spans="1:24" s="1" customFormat="1" ht="33.75" customHeight="1">
      <c r="A48" s="30" t="s">
        <v>102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99</v>
      </c>
      <c r="M48" s="31"/>
      <c r="N48" s="31" t="s">
        <v>103</v>
      </c>
      <c r="O48" s="31"/>
      <c r="P48" s="32">
        <f>208662</f>
        <v>208662</v>
      </c>
      <c r="Q48" s="32"/>
      <c r="R48" s="32"/>
      <c r="S48" s="32">
        <f>159112.59</f>
        <v>159112.59</v>
      </c>
      <c r="T48" s="32"/>
      <c r="U48" s="32"/>
      <c r="V48" s="32"/>
      <c r="W48" s="33">
        <f>49549.41</f>
        <v>49549.41</v>
      </c>
      <c r="X48" s="33"/>
    </row>
    <row r="49" spans="1:24" s="1" customFormat="1" ht="13.5" customHeight="1">
      <c r="A49" s="30" t="s">
        <v>100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99</v>
      </c>
      <c r="M49" s="31"/>
      <c r="N49" s="31" t="s">
        <v>104</v>
      </c>
      <c r="O49" s="31"/>
      <c r="P49" s="32">
        <f>3455051.11</f>
        <v>3455051.11</v>
      </c>
      <c r="Q49" s="32"/>
      <c r="R49" s="32"/>
      <c r="S49" s="32">
        <f>2781159.63</f>
        <v>2781159.63</v>
      </c>
      <c r="T49" s="32"/>
      <c r="U49" s="32"/>
      <c r="V49" s="32"/>
      <c r="W49" s="33">
        <f>673891.48</f>
        <v>673891.48</v>
      </c>
      <c r="X49" s="33"/>
    </row>
    <row r="50" spans="1:24" s="1" customFormat="1" ht="24" customHeight="1">
      <c r="A50" s="30" t="s">
        <v>105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99</v>
      </c>
      <c r="M50" s="31"/>
      <c r="N50" s="31" t="s">
        <v>106</v>
      </c>
      <c r="O50" s="31"/>
      <c r="P50" s="32">
        <f>1000</f>
        <v>1000</v>
      </c>
      <c r="Q50" s="32"/>
      <c r="R50" s="32"/>
      <c r="S50" s="32">
        <f>200</f>
        <v>200</v>
      </c>
      <c r="T50" s="32"/>
      <c r="U50" s="32"/>
      <c r="V50" s="32"/>
      <c r="W50" s="33">
        <f>800</f>
        <v>800</v>
      </c>
      <c r="X50" s="33"/>
    </row>
    <row r="51" spans="1:24" s="1" customFormat="1" ht="33.75" customHeight="1">
      <c r="A51" s="30" t="s">
        <v>102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99</v>
      </c>
      <c r="M51" s="31"/>
      <c r="N51" s="31" t="s">
        <v>107</v>
      </c>
      <c r="O51" s="31"/>
      <c r="P51" s="32">
        <f>1011550</f>
        <v>1011550</v>
      </c>
      <c r="Q51" s="32"/>
      <c r="R51" s="32"/>
      <c r="S51" s="32">
        <f>757951.2</f>
        <v>757951.2</v>
      </c>
      <c r="T51" s="32"/>
      <c r="U51" s="32"/>
      <c r="V51" s="32"/>
      <c r="W51" s="33">
        <f>253598.8</f>
        <v>253598.8</v>
      </c>
      <c r="X51" s="33"/>
    </row>
    <row r="52" spans="1:24" s="1" customFormat="1" ht="13.5" customHeight="1">
      <c r="A52" s="30" t="s">
        <v>108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99</v>
      </c>
      <c r="M52" s="31"/>
      <c r="N52" s="31" t="s">
        <v>109</v>
      </c>
      <c r="O52" s="31"/>
      <c r="P52" s="32">
        <f>816442.9</f>
        <v>816442.9</v>
      </c>
      <c r="Q52" s="32"/>
      <c r="R52" s="32"/>
      <c r="S52" s="32">
        <f>679761.33</f>
        <v>679761.33</v>
      </c>
      <c r="T52" s="32"/>
      <c r="U52" s="32"/>
      <c r="V52" s="32"/>
      <c r="W52" s="33">
        <f>136681.57</f>
        <v>136681.57</v>
      </c>
      <c r="X52" s="33"/>
    </row>
    <row r="53" spans="1:24" s="1" customFormat="1" ht="13.5" customHeight="1">
      <c r="A53" s="30" t="s">
        <v>110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99</v>
      </c>
      <c r="M53" s="31"/>
      <c r="N53" s="31" t="s">
        <v>111</v>
      </c>
      <c r="O53" s="31"/>
      <c r="P53" s="32">
        <f>225007.71</f>
        <v>225007.71</v>
      </c>
      <c r="Q53" s="32"/>
      <c r="R53" s="32"/>
      <c r="S53" s="32">
        <f>129311.18</f>
        <v>129311.18</v>
      </c>
      <c r="T53" s="32"/>
      <c r="U53" s="32"/>
      <c r="V53" s="32"/>
      <c r="W53" s="33">
        <f>95696.53</f>
        <v>95696.53</v>
      </c>
      <c r="X53" s="33"/>
    </row>
    <row r="54" spans="1:24" s="1" customFormat="1" ht="13.5" customHeight="1">
      <c r="A54" s="30" t="s">
        <v>112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99</v>
      </c>
      <c r="M54" s="31"/>
      <c r="N54" s="31" t="s">
        <v>113</v>
      </c>
      <c r="O54" s="31"/>
      <c r="P54" s="32">
        <f>6000</f>
        <v>6000</v>
      </c>
      <c r="Q54" s="32"/>
      <c r="R54" s="32"/>
      <c r="S54" s="32">
        <f>4203</f>
        <v>4203</v>
      </c>
      <c r="T54" s="32"/>
      <c r="U54" s="32"/>
      <c r="V54" s="32"/>
      <c r="W54" s="33">
        <f>1797</f>
        <v>1797</v>
      </c>
      <c r="X54" s="33"/>
    </row>
    <row r="55" spans="1:24" s="1" customFormat="1" ht="13.5" customHeight="1">
      <c r="A55" s="30" t="s">
        <v>114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99</v>
      </c>
      <c r="M55" s="31"/>
      <c r="N55" s="31" t="s">
        <v>115</v>
      </c>
      <c r="O55" s="31"/>
      <c r="P55" s="32">
        <f>7780.68</f>
        <v>7780.68</v>
      </c>
      <c r="Q55" s="32"/>
      <c r="R55" s="32"/>
      <c r="S55" s="32">
        <f>7502</f>
        <v>7502</v>
      </c>
      <c r="T55" s="32"/>
      <c r="U55" s="32"/>
      <c r="V55" s="32"/>
      <c r="W55" s="33">
        <f>278.68</f>
        <v>278.68</v>
      </c>
      <c r="X55" s="33"/>
    </row>
    <row r="56" spans="1:24" s="1" customFormat="1" ht="13.5" customHeight="1">
      <c r="A56" s="30" t="s">
        <v>116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99</v>
      </c>
      <c r="M56" s="31"/>
      <c r="N56" s="31" t="s">
        <v>117</v>
      </c>
      <c r="O56" s="31"/>
      <c r="P56" s="32">
        <f>1219.32</f>
        <v>1219.32</v>
      </c>
      <c r="Q56" s="32"/>
      <c r="R56" s="32"/>
      <c r="S56" s="32">
        <f>1073.78</f>
        <v>1073.78</v>
      </c>
      <c r="T56" s="32"/>
      <c r="U56" s="32"/>
      <c r="V56" s="32"/>
      <c r="W56" s="33">
        <f>145.54</f>
        <v>145.54</v>
      </c>
      <c r="X56" s="33"/>
    </row>
    <row r="57" spans="1:24" s="1" customFormat="1" ht="13.5" customHeight="1">
      <c r="A57" s="30" t="s">
        <v>118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99</v>
      </c>
      <c r="M57" s="31"/>
      <c r="N57" s="31" t="s">
        <v>119</v>
      </c>
      <c r="O57" s="31"/>
      <c r="P57" s="32">
        <f>50000</f>
        <v>50000</v>
      </c>
      <c r="Q57" s="32"/>
      <c r="R57" s="32"/>
      <c r="S57" s="34" t="s">
        <v>39</v>
      </c>
      <c r="T57" s="34"/>
      <c r="U57" s="34"/>
      <c r="V57" s="34"/>
      <c r="W57" s="33">
        <f>50000</f>
        <v>50000</v>
      </c>
      <c r="X57" s="33"/>
    </row>
    <row r="58" spans="1:24" s="1" customFormat="1" ht="13.5" customHeight="1">
      <c r="A58" s="30" t="s">
        <v>108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99</v>
      </c>
      <c r="M58" s="31"/>
      <c r="N58" s="31" t="s">
        <v>120</v>
      </c>
      <c r="O58" s="31"/>
      <c r="P58" s="32">
        <f>500000</f>
        <v>500000</v>
      </c>
      <c r="Q58" s="32"/>
      <c r="R58" s="32"/>
      <c r="S58" s="32">
        <f>292007.85</f>
        <v>292007.85</v>
      </c>
      <c r="T58" s="32"/>
      <c r="U58" s="32"/>
      <c r="V58" s="32"/>
      <c r="W58" s="33">
        <f>207992.15</f>
        <v>207992.15</v>
      </c>
      <c r="X58" s="33"/>
    </row>
    <row r="59" spans="1:24" s="1" customFormat="1" ht="13.5" customHeight="1">
      <c r="A59" s="30" t="s">
        <v>108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99</v>
      </c>
      <c r="M59" s="31"/>
      <c r="N59" s="31" t="s">
        <v>121</v>
      </c>
      <c r="O59" s="31"/>
      <c r="P59" s="32">
        <f>15700</f>
        <v>15700</v>
      </c>
      <c r="Q59" s="32"/>
      <c r="R59" s="32"/>
      <c r="S59" s="32">
        <f>15700</f>
        <v>15700</v>
      </c>
      <c r="T59" s="32"/>
      <c r="U59" s="32"/>
      <c r="V59" s="32"/>
      <c r="W59" s="33">
        <f>0</f>
        <v>0</v>
      </c>
      <c r="X59" s="33"/>
    </row>
    <row r="60" spans="1:24" s="1" customFormat="1" ht="13.5" customHeight="1">
      <c r="A60" s="30" t="s">
        <v>108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99</v>
      </c>
      <c r="M60" s="31"/>
      <c r="N60" s="31" t="s">
        <v>122</v>
      </c>
      <c r="O60" s="31"/>
      <c r="P60" s="32">
        <f>178800</f>
        <v>178800</v>
      </c>
      <c r="Q60" s="32"/>
      <c r="R60" s="32"/>
      <c r="S60" s="32">
        <f>87800</f>
        <v>87800</v>
      </c>
      <c r="T60" s="32"/>
      <c r="U60" s="32"/>
      <c r="V60" s="32"/>
      <c r="W60" s="33">
        <f>91000</f>
        <v>91000</v>
      </c>
      <c r="X60" s="33"/>
    </row>
    <row r="61" spans="1:24" s="1" customFormat="1" ht="13.5" customHeight="1">
      <c r="A61" s="30" t="s">
        <v>123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99</v>
      </c>
      <c r="M61" s="31"/>
      <c r="N61" s="31" t="s">
        <v>124</v>
      </c>
      <c r="O61" s="31"/>
      <c r="P61" s="32">
        <f>135464</f>
        <v>135464</v>
      </c>
      <c r="Q61" s="32"/>
      <c r="R61" s="32"/>
      <c r="S61" s="32">
        <f>135464</f>
        <v>135464</v>
      </c>
      <c r="T61" s="32"/>
      <c r="U61" s="32"/>
      <c r="V61" s="32"/>
      <c r="W61" s="33">
        <f>0</f>
        <v>0</v>
      </c>
      <c r="X61" s="33"/>
    </row>
    <row r="62" spans="1:24" s="1" customFormat="1" ht="13.5" customHeight="1">
      <c r="A62" s="30" t="s">
        <v>108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99</v>
      </c>
      <c r="M62" s="31"/>
      <c r="N62" s="31" t="s">
        <v>125</v>
      </c>
      <c r="O62" s="31"/>
      <c r="P62" s="32">
        <f>168225</f>
        <v>168225</v>
      </c>
      <c r="Q62" s="32"/>
      <c r="R62" s="32"/>
      <c r="S62" s="32">
        <f>80273.78</f>
        <v>80273.78</v>
      </c>
      <c r="T62" s="32"/>
      <c r="U62" s="32"/>
      <c r="V62" s="32"/>
      <c r="W62" s="33">
        <f>87951.22</f>
        <v>87951.22</v>
      </c>
      <c r="X62" s="33"/>
    </row>
    <row r="63" spans="1:24" s="1" customFormat="1" ht="13.5" customHeight="1">
      <c r="A63" s="30" t="s">
        <v>110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99</v>
      </c>
      <c r="M63" s="31"/>
      <c r="N63" s="31" t="s">
        <v>126</v>
      </c>
      <c r="O63" s="31"/>
      <c r="P63" s="32">
        <f>200000</f>
        <v>200000</v>
      </c>
      <c r="Q63" s="32"/>
      <c r="R63" s="32"/>
      <c r="S63" s="32">
        <f>80650.96</f>
        <v>80650.96</v>
      </c>
      <c r="T63" s="32"/>
      <c r="U63" s="32"/>
      <c r="V63" s="32"/>
      <c r="W63" s="33">
        <f>119349.04</f>
        <v>119349.04</v>
      </c>
      <c r="X63" s="33"/>
    </row>
    <row r="64" spans="1:24" s="1" customFormat="1" ht="13.5" customHeight="1">
      <c r="A64" s="30" t="s">
        <v>116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99</v>
      </c>
      <c r="M64" s="31"/>
      <c r="N64" s="31" t="s">
        <v>127</v>
      </c>
      <c r="O64" s="31"/>
      <c r="P64" s="32">
        <f>23696</f>
        <v>23696</v>
      </c>
      <c r="Q64" s="32"/>
      <c r="R64" s="32"/>
      <c r="S64" s="34" t="s">
        <v>39</v>
      </c>
      <c r="T64" s="34"/>
      <c r="U64" s="34"/>
      <c r="V64" s="34"/>
      <c r="W64" s="33">
        <f>23696</f>
        <v>23696</v>
      </c>
      <c r="X64" s="33"/>
    </row>
    <row r="65" spans="1:24" s="1" customFormat="1" ht="13.5" customHeight="1">
      <c r="A65" s="30" t="s">
        <v>100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99</v>
      </c>
      <c r="M65" s="31"/>
      <c r="N65" s="31" t="s">
        <v>128</v>
      </c>
      <c r="O65" s="31"/>
      <c r="P65" s="32">
        <f>178694</f>
        <v>178694</v>
      </c>
      <c r="Q65" s="32"/>
      <c r="R65" s="32"/>
      <c r="S65" s="32">
        <f>121262.98</f>
        <v>121262.98</v>
      </c>
      <c r="T65" s="32"/>
      <c r="U65" s="32"/>
      <c r="V65" s="32"/>
      <c r="W65" s="33">
        <f>57431.02</f>
        <v>57431.02</v>
      </c>
      <c r="X65" s="33"/>
    </row>
    <row r="66" spans="1:24" s="1" customFormat="1" ht="33.75" customHeight="1">
      <c r="A66" s="30" t="s">
        <v>102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99</v>
      </c>
      <c r="M66" s="31"/>
      <c r="N66" s="31" t="s">
        <v>129</v>
      </c>
      <c r="O66" s="31"/>
      <c r="P66" s="32">
        <f>53965</f>
        <v>53965</v>
      </c>
      <c r="Q66" s="32"/>
      <c r="R66" s="32"/>
      <c r="S66" s="32">
        <f>36621.44</f>
        <v>36621.44</v>
      </c>
      <c r="T66" s="32"/>
      <c r="U66" s="32"/>
      <c r="V66" s="32"/>
      <c r="W66" s="33">
        <f>17343.56</f>
        <v>17343.56</v>
      </c>
      <c r="X66" s="33"/>
    </row>
    <row r="67" spans="1:24" s="1" customFormat="1" ht="13.5" customHeight="1">
      <c r="A67" s="30" t="s">
        <v>108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99</v>
      </c>
      <c r="M67" s="31"/>
      <c r="N67" s="31" t="s">
        <v>130</v>
      </c>
      <c r="O67" s="31"/>
      <c r="P67" s="32">
        <f>24558</f>
        <v>24558</v>
      </c>
      <c r="Q67" s="32"/>
      <c r="R67" s="32"/>
      <c r="S67" s="32">
        <f>24558</f>
        <v>24558</v>
      </c>
      <c r="T67" s="32"/>
      <c r="U67" s="32"/>
      <c r="V67" s="32"/>
      <c r="W67" s="33">
        <f>0</f>
        <v>0</v>
      </c>
      <c r="X67" s="33"/>
    </row>
    <row r="68" spans="1:24" s="1" customFormat="1" ht="13.5" customHeight="1">
      <c r="A68" s="30" t="s">
        <v>108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99</v>
      </c>
      <c r="M68" s="31"/>
      <c r="N68" s="31" t="s">
        <v>131</v>
      </c>
      <c r="O68" s="31"/>
      <c r="P68" s="32">
        <f>7000</f>
        <v>7000</v>
      </c>
      <c r="Q68" s="32"/>
      <c r="R68" s="32"/>
      <c r="S68" s="32">
        <f>2600</f>
        <v>2600</v>
      </c>
      <c r="T68" s="32"/>
      <c r="U68" s="32"/>
      <c r="V68" s="32"/>
      <c r="W68" s="33">
        <f>4400</f>
        <v>4400</v>
      </c>
      <c r="X68" s="33"/>
    </row>
    <row r="69" spans="1:24" s="1" customFormat="1" ht="13.5" customHeight="1">
      <c r="A69" s="30" t="s">
        <v>108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99</v>
      </c>
      <c r="M69" s="31"/>
      <c r="N69" s="31" t="s">
        <v>132</v>
      </c>
      <c r="O69" s="31"/>
      <c r="P69" s="32">
        <f>8000</f>
        <v>8000</v>
      </c>
      <c r="Q69" s="32"/>
      <c r="R69" s="32"/>
      <c r="S69" s="32">
        <f>8000</f>
        <v>8000</v>
      </c>
      <c r="T69" s="32"/>
      <c r="U69" s="32"/>
      <c r="V69" s="32"/>
      <c r="W69" s="33">
        <f>0</f>
        <v>0</v>
      </c>
      <c r="X69" s="33"/>
    </row>
    <row r="70" spans="1:24" s="1" customFormat="1" ht="13.5" customHeight="1">
      <c r="A70" s="30" t="s">
        <v>108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99</v>
      </c>
      <c r="M70" s="31"/>
      <c r="N70" s="31" t="s">
        <v>133</v>
      </c>
      <c r="O70" s="31"/>
      <c r="P70" s="32">
        <f>5000</f>
        <v>5000</v>
      </c>
      <c r="Q70" s="32"/>
      <c r="R70" s="32"/>
      <c r="S70" s="34" t="s">
        <v>39</v>
      </c>
      <c r="T70" s="34"/>
      <c r="U70" s="34"/>
      <c r="V70" s="34"/>
      <c r="W70" s="33">
        <f>5000</f>
        <v>5000</v>
      </c>
      <c r="X70" s="33"/>
    </row>
    <row r="71" spans="1:24" s="1" customFormat="1" ht="13.5" customHeight="1">
      <c r="A71" s="30" t="s">
        <v>108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99</v>
      </c>
      <c r="M71" s="31"/>
      <c r="N71" s="31" t="s">
        <v>134</v>
      </c>
      <c r="O71" s="31"/>
      <c r="P71" s="32">
        <f>20000</f>
        <v>20000</v>
      </c>
      <c r="Q71" s="32"/>
      <c r="R71" s="32"/>
      <c r="S71" s="32">
        <f>13999.01</f>
        <v>13999.01</v>
      </c>
      <c r="T71" s="32"/>
      <c r="U71" s="32"/>
      <c r="V71" s="32"/>
      <c r="W71" s="33">
        <f>6000.99</f>
        <v>6000.99</v>
      </c>
      <c r="X71" s="33"/>
    </row>
    <row r="72" spans="1:24" s="1" customFormat="1" ht="13.5" customHeight="1">
      <c r="A72" s="30" t="s">
        <v>108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99</v>
      </c>
      <c r="M72" s="31"/>
      <c r="N72" s="31" t="s">
        <v>135</v>
      </c>
      <c r="O72" s="31"/>
      <c r="P72" s="32">
        <f>734155</f>
        <v>734155</v>
      </c>
      <c r="Q72" s="32"/>
      <c r="R72" s="32"/>
      <c r="S72" s="32">
        <f>708075</f>
        <v>708075</v>
      </c>
      <c r="T72" s="32"/>
      <c r="U72" s="32"/>
      <c r="V72" s="32"/>
      <c r="W72" s="33">
        <f>26080</f>
        <v>26080</v>
      </c>
      <c r="X72" s="33"/>
    </row>
    <row r="73" spans="1:24" s="1" customFormat="1" ht="13.5" customHeight="1">
      <c r="A73" s="30" t="s">
        <v>108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99</v>
      </c>
      <c r="M73" s="31"/>
      <c r="N73" s="31" t="s">
        <v>136</v>
      </c>
      <c r="O73" s="31"/>
      <c r="P73" s="32">
        <f>3400000</f>
        <v>3400000</v>
      </c>
      <c r="Q73" s="32"/>
      <c r="R73" s="32"/>
      <c r="S73" s="32">
        <f>2499012.49</f>
        <v>2499012.49</v>
      </c>
      <c r="T73" s="32"/>
      <c r="U73" s="32"/>
      <c r="V73" s="32"/>
      <c r="W73" s="33">
        <f>900987.51</f>
        <v>900987.51</v>
      </c>
      <c r="X73" s="33"/>
    </row>
    <row r="74" spans="1:24" s="1" customFormat="1" ht="13.5" customHeight="1">
      <c r="A74" s="30" t="s">
        <v>108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99</v>
      </c>
      <c r="M74" s="31"/>
      <c r="N74" s="31" t="s">
        <v>137</v>
      </c>
      <c r="O74" s="31"/>
      <c r="P74" s="32">
        <f>4126338.44</f>
        <v>4126338.44</v>
      </c>
      <c r="Q74" s="32"/>
      <c r="R74" s="32"/>
      <c r="S74" s="32">
        <f>3722449.39</f>
        <v>3722449.39</v>
      </c>
      <c r="T74" s="32"/>
      <c r="U74" s="32"/>
      <c r="V74" s="32"/>
      <c r="W74" s="33">
        <f>403889.05</f>
        <v>403889.05</v>
      </c>
      <c r="X74" s="33"/>
    </row>
    <row r="75" spans="1:24" s="1" customFormat="1" ht="13.5" customHeight="1">
      <c r="A75" s="30" t="s">
        <v>108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99</v>
      </c>
      <c r="M75" s="31"/>
      <c r="N75" s="31" t="s">
        <v>138</v>
      </c>
      <c r="O75" s="31"/>
      <c r="P75" s="32">
        <f>13514285</f>
        <v>13514285</v>
      </c>
      <c r="Q75" s="32"/>
      <c r="R75" s="32"/>
      <c r="S75" s="32">
        <f>4144834.28</f>
        <v>4144834.28</v>
      </c>
      <c r="T75" s="32"/>
      <c r="U75" s="32"/>
      <c r="V75" s="32"/>
      <c r="W75" s="33">
        <f>9369450.72</f>
        <v>9369450.72</v>
      </c>
      <c r="X75" s="33"/>
    </row>
    <row r="76" spans="1:24" s="1" customFormat="1" ht="13.5" customHeight="1">
      <c r="A76" s="30" t="s">
        <v>108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99</v>
      </c>
      <c r="M76" s="31"/>
      <c r="N76" s="31" t="s">
        <v>139</v>
      </c>
      <c r="O76" s="31"/>
      <c r="P76" s="32">
        <f>433000</f>
        <v>433000</v>
      </c>
      <c r="Q76" s="32"/>
      <c r="R76" s="32"/>
      <c r="S76" s="34" t="s">
        <v>39</v>
      </c>
      <c r="T76" s="34"/>
      <c r="U76" s="34"/>
      <c r="V76" s="34"/>
      <c r="W76" s="33">
        <f>433000</f>
        <v>433000</v>
      </c>
      <c r="X76" s="33"/>
    </row>
    <row r="77" spans="1:24" s="1" customFormat="1" ht="13.5" customHeight="1">
      <c r="A77" s="30" t="s">
        <v>108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99</v>
      </c>
      <c r="M77" s="31"/>
      <c r="N77" s="31" t="s">
        <v>140</v>
      </c>
      <c r="O77" s="31"/>
      <c r="P77" s="32">
        <f>1441886</f>
        <v>1441886</v>
      </c>
      <c r="Q77" s="32"/>
      <c r="R77" s="32"/>
      <c r="S77" s="32">
        <f>1441885.68</f>
        <v>1441885.68</v>
      </c>
      <c r="T77" s="32"/>
      <c r="U77" s="32"/>
      <c r="V77" s="32"/>
      <c r="W77" s="33">
        <f>0.32</f>
        <v>0.32</v>
      </c>
      <c r="X77" s="33"/>
    </row>
    <row r="78" spans="1:24" s="1" customFormat="1" ht="13.5" customHeight="1">
      <c r="A78" s="30" t="s">
        <v>123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99</v>
      </c>
      <c r="M78" s="31"/>
      <c r="N78" s="31" t="s">
        <v>141</v>
      </c>
      <c r="O78" s="31"/>
      <c r="P78" s="32">
        <f>3320</f>
        <v>3320</v>
      </c>
      <c r="Q78" s="32"/>
      <c r="R78" s="32"/>
      <c r="S78" s="32">
        <f>3320</f>
        <v>3320</v>
      </c>
      <c r="T78" s="32"/>
      <c r="U78" s="32"/>
      <c r="V78" s="32"/>
      <c r="W78" s="33">
        <f>0</f>
        <v>0</v>
      </c>
      <c r="X78" s="33"/>
    </row>
    <row r="79" spans="1:24" s="1" customFormat="1" ht="13.5" customHeight="1">
      <c r="A79" s="30" t="s">
        <v>123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99</v>
      </c>
      <c r="M79" s="31"/>
      <c r="N79" s="31" t="s">
        <v>142</v>
      </c>
      <c r="O79" s="31"/>
      <c r="P79" s="32">
        <f>63075</f>
        <v>63075</v>
      </c>
      <c r="Q79" s="32"/>
      <c r="R79" s="32"/>
      <c r="S79" s="32">
        <f>47306</f>
        <v>47306</v>
      </c>
      <c r="T79" s="32"/>
      <c r="U79" s="32"/>
      <c r="V79" s="32"/>
      <c r="W79" s="33">
        <f>15769</f>
        <v>15769</v>
      </c>
      <c r="X79" s="33"/>
    </row>
    <row r="80" spans="1:24" s="1" customFormat="1" ht="13.5" customHeight="1">
      <c r="A80" s="30" t="s">
        <v>108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99</v>
      </c>
      <c r="M80" s="31"/>
      <c r="N80" s="31" t="s">
        <v>143</v>
      </c>
      <c r="O80" s="31"/>
      <c r="P80" s="32">
        <f>114686.02</f>
        <v>114686.02</v>
      </c>
      <c r="Q80" s="32"/>
      <c r="R80" s="32"/>
      <c r="S80" s="32">
        <f>111443.71</f>
        <v>111443.71</v>
      </c>
      <c r="T80" s="32"/>
      <c r="U80" s="32"/>
      <c r="V80" s="32"/>
      <c r="W80" s="33">
        <f>3242.31</f>
        <v>3242.31</v>
      </c>
      <c r="X80" s="33"/>
    </row>
    <row r="81" spans="1:24" s="1" customFormat="1" ht="13.5" customHeight="1">
      <c r="A81" s="30" t="s">
        <v>108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99</v>
      </c>
      <c r="M81" s="31"/>
      <c r="N81" s="31" t="s">
        <v>144</v>
      </c>
      <c r="O81" s="31"/>
      <c r="P81" s="32">
        <f>58238</f>
        <v>58238</v>
      </c>
      <c r="Q81" s="32"/>
      <c r="R81" s="32"/>
      <c r="S81" s="32">
        <f>42737</f>
        <v>42737</v>
      </c>
      <c r="T81" s="32"/>
      <c r="U81" s="32"/>
      <c r="V81" s="32"/>
      <c r="W81" s="33">
        <f>15501</f>
        <v>15501</v>
      </c>
      <c r="X81" s="33"/>
    </row>
    <row r="82" spans="1:24" s="1" customFormat="1" ht="24" customHeight="1">
      <c r="A82" s="30" t="s">
        <v>145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99</v>
      </c>
      <c r="M82" s="31"/>
      <c r="N82" s="31" t="s">
        <v>146</v>
      </c>
      <c r="O82" s="31"/>
      <c r="P82" s="32">
        <f>521762</f>
        <v>521762</v>
      </c>
      <c r="Q82" s="32"/>
      <c r="R82" s="32"/>
      <c r="S82" s="32">
        <f>521762</f>
        <v>521762</v>
      </c>
      <c r="T82" s="32"/>
      <c r="U82" s="32"/>
      <c r="V82" s="32"/>
      <c r="W82" s="33">
        <f>0</f>
        <v>0</v>
      </c>
      <c r="X82" s="33"/>
    </row>
    <row r="83" spans="1:24" s="1" customFormat="1" ht="13.5" customHeight="1">
      <c r="A83" s="30" t="s">
        <v>108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99</v>
      </c>
      <c r="M83" s="31"/>
      <c r="N83" s="31" t="s">
        <v>147</v>
      </c>
      <c r="O83" s="31"/>
      <c r="P83" s="32">
        <f>662000</f>
        <v>662000</v>
      </c>
      <c r="Q83" s="32"/>
      <c r="R83" s="32"/>
      <c r="S83" s="32">
        <f>404517.36</f>
        <v>404517.36</v>
      </c>
      <c r="T83" s="32"/>
      <c r="U83" s="32"/>
      <c r="V83" s="32"/>
      <c r="W83" s="33">
        <f>257482.64</f>
        <v>257482.64</v>
      </c>
      <c r="X83" s="33"/>
    </row>
    <row r="84" spans="1:24" s="1" customFormat="1" ht="13.5" customHeight="1">
      <c r="A84" s="30" t="s">
        <v>110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99</v>
      </c>
      <c r="M84" s="31"/>
      <c r="N84" s="31" t="s">
        <v>148</v>
      </c>
      <c r="O84" s="31"/>
      <c r="P84" s="32">
        <f>1118128.98</f>
        <v>1118128.98</v>
      </c>
      <c r="Q84" s="32"/>
      <c r="R84" s="32"/>
      <c r="S84" s="32">
        <f>743246.15</f>
        <v>743246.15</v>
      </c>
      <c r="T84" s="32"/>
      <c r="U84" s="32"/>
      <c r="V84" s="32"/>
      <c r="W84" s="33">
        <f>374882.83</f>
        <v>374882.83</v>
      </c>
      <c r="X84" s="33"/>
    </row>
    <row r="85" spans="1:24" s="1" customFormat="1" ht="13.5" customHeight="1">
      <c r="A85" s="30" t="s">
        <v>108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99</v>
      </c>
      <c r="M85" s="31"/>
      <c r="N85" s="31" t="s">
        <v>149</v>
      </c>
      <c r="O85" s="31"/>
      <c r="P85" s="32">
        <f>374515.4</f>
        <v>374515.4</v>
      </c>
      <c r="Q85" s="32"/>
      <c r="R85" s="32"/>
      <c r="S85" s="32">
        <f>352938.14</f>
        <v>352938.14</v>
      </c>
      <c r="T85" s="32"/>
      <c r="U85" s="32"/>
      <c r="V85" s="32"/>
      <c r="W85" s="33">
        <f>21577.26</f>
        <v>21577.26</v>
      </c>
      <c r="X85" s="33"/>
    </row>
    <row r="86" spans="1:24" s="1" customFormat="1" ht="13.5" customHeight="1">
      <c r="A86" s="30" t="s">
        <v>108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99</v>
      </c>
      <c r="M86" s="31"/>
      <c r="N86" s="31" t="s">
        <v>150</v>
      </c>
      <c r="O86" s="31"/>
      <c r="P86" s="32">
        <f>3000</f>
        <v>3000</v>
      </c>
      <c r="Q86" s="32"/>
      <c r="R86" s="32"/>
      <c r="S86" s="32">
        <f>1444.1</f>
        <v>1444.1</v>
      </c>
      <c r="T86" s="32"/>
      <c r="U86" s="32"/>
      <c r="V86" s="32"/>
      <c r="W86" s="33">
        <f>1555.9</f>
        <v>1555.9</v>
      </c>
      <c r="X86" s="33"/>
    </row>
    <row r="87" spans="1:24" s="1" customFormat="1" ht="13.5" customHeight="1">
      <c r="A87" s="30" t="s">
        <v>108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99</v>
      </c>
      <c r="M87" s="31"/>
      <c r="N87" s="31" t="s">
        <v>151</v>
      </c>
      <c r="O87" s="31"/>
      <c r="P87" s="32">
        <f>2033423.33</f>
        <v>2033423.33</v>
      </c>
      <c r="Q87" s="32"/>
      <c r="R87" s="32"/>
      <c r="S87" s="32">
        <f>1846850.89</f>
        <v>1846850.89</v>
      </c>
      <c r="T87" s="32"/>
      <c r="U87" s="32"/>
      <c r="V87" s="32"/>
      <c r="W87" s="33">
        <f>186572.44</f>
        <v>186572.44</v>
      </c>
      <c r="X87" s="33"/>
    </row>
    <row r="88" spans="1:24" s="1" customFormat="1" ht="13.5" customHeight="1">
      <c r="A88" s="30" t="s">
        <v>108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99</v>
      </c>
      <c r="M88" s="31"/>
      <c r="N88" s="31" t="s">
        <v>152</v>
      </c>
      <c r="O88" s="31"/>
      <c r="P88" s="32">
        <f>279937</f>
        <v>279937</v>
      </c>
      <c r="Q88" s="32"/>
      <c r="R88" s="32"/>
      <c r="S88" s="32">
        <f>278519.85</f>
        <v>278519.85</v>
      </c>
      <c r="T88" s="32"/>
      <c r="U88" s="32"/>
      <c r="V88" s="32"/>
      <c r="W88" s="33">
        <f>1417.15</f>
        <v>1417.15</v>
      </c>
      <c r="X88" s="33"/>
    </row>
    <row r="89" spans="1:24" s="1" customFormat="1" ht="13.5" customHeight="1">
      <c r="A89" s="30" t="s">
        <v>108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99</v>
      </c>
      <c r="M89" s="31"/>
      <c r="N89" s="31" t="s">
        <v>153</v>
      </c>
      <c r="O89" s="31"/>
      <c r="P89" s="32">
        <f>378802</f>
        <v>378802</v>
      </c>
      <c r="Q89" s="32"/>
      <c r="R89" s="32"/>
      <c r="S89" s="34" t="s">
        <v>39</v>
      </c>
      <c r="T89" s="34"/>
      <c r="U89" s="34"/>
      <c r="V89" s="34"/>
      <c r="W89" s="33">
        <f>378802</f>
        <v>378802</v>
      </c>
      <c r="X89" s="33"/>
    </row>
    <row r="90" spans="1:24" s="1" customFormat="1" ht="13.5" customHeight="1">
      <c r="A90" s="30" t="s">
        <v>108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99</v>
      </c>
      <c r="M90" s="31"/>
      <c r="N90" s="31" t="s">
        <v>154</v>
      </c>
      <c r="O90" s="31"/>
      <c r="P90" s="32">
        <f>34303.5</f>
        <v>34303.5</v>
      </c>
      <c r="Q90" s="32"/>
      <c r="R90" s="32"/>
      <c r="S90" s="32">
        <f>34303.5</f>
        <v>34303.5</v>
      </c>
      <c r="T90" s="32"/>
      <c r="U90" s="32"/>
      <c r="V90" s="32"/>
      <c r="W90" s="33">
        <f>0</f>
        <v>0</v>
      </c>
      <c r="X90" s="33"/>
    </row>
    <row r="91" spans="1:24" s="1" customFormat="1" ht="13.5" customHeight="1">
      <c r="A91" s="30" t="s">
        <v>108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99</v>
      </c>
      <c r="M91" s="31"/>
      <c r="N91" s="31" t="s">
        <v>155</v>
      </c>
      <c r="O91" s="31"/>
      <c r="P91" s="32">
        <f>2540000</f>
        <v>2540000</v>
      </c>
      <c r="Q91" s="32"/>
      <c r="R91" s="32"/>
      <c r="S91" s="32">
        <f>2532038.95</f>
        <v>2532038.95</v>
      </c>
      <c r="T91" s="32"/>
      <c r="U91" s="32"/>
      <c r="V91" s="32"/>
      <c r="W91" s="33">
        <f>7961.05</f>
        <v>7961.05</v>
      </c>
      <c r="X91" s="33"/>
    </row>
    <row r="92" spans="1:24" s="1" customFormat="1" ht="13.5" customHeight="1">
      <c r="A92" s="30" t="s">
        <v>108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99</v>
      </c>
      <c r="M92" s="31"/>
      <c r="N92" s="31" t="s">
        <v>156</v>
      </c>
      <c r="O92" s="31"/>
      <c r="P92" s="32">
        <f>24926.27</f>
        <v>24926.27</v>
      </c>
      <c r="Q92" s="32"/>
      <c r="R92" s="32"/>
      <c r="S92" s="32">
        <f>24926.27</f>
        <v>24926.27</v>
      </c>
      <c r="T92" s="32"/>
      <c r="U92" s="32"/>
      <c r="V92" s="32"/>
      <c r="W92" s="33">
        <f>0</f>
        <v>0</v>
      </c>
      <c r="X92" s="33"/>
    </row>
    <row r="93" spans="1:24" s="1" customFormat="1" ht="13.5" customHeight="1">
      <c r="A93" s="30" t="s">
        <v>108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99</v>
      </c>
      <c r="M93" s="31"/>
      <c r="N93" s="31" t="s">
        <v>157</v>
      </c>
      <c r="O93" s="31"/>
      <c r="P93" s="32">
        <f>337000</f>
        <v>337000</v>
      </c>
      <c r="Q93" s="32"/>
      <c r="R93" s="32"/>
      <c r="S93" s="32">
        <f>322491.48</f>
        <v>322491.48</v>
      </c>
      <c r="T93" s="32"/>
      <c r="U93" s="32"/>
      <c r="V93" s="32"/>
      <c r="W93" s="33">
        <f>14508.52</f>
        <v>14508.52</v>
      </c>
      <c r="X93" s="33"/>
    </row>
    <row r="94" spans="1:24" s="1" customFormat="1" ht="13.5" customHeight="1">
      <c r="A94" s="30" t="s">
        <v>123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99</v>
      </c>
      <c r="M94" s="31"/>
      <c r="N94" s="31" t="s">
        <v>158</v>
      </c>
      <c r="O94" s="31"/>
      <c r="P94" s="32">
        <f>124000</f>
        <v>124000</v>
      </c>
      <c r="Q94" s="32"/>
      <c r="R94" s="32"/>
      <c r="S94" s="32">
        <f>124000</f>
        <v>124000</v>
      </c>
      <c r="T94" s="32"/>
      <c r="U94" s="32"/>
      <c r="V94" s="32"/>
      <c r="W94" s="33">
        <f>0</f>
        <v>0</v>
      </c>
      <c r="X94" s="33"/>
    </row>
    <row r="95" spans="1:24" s="1" customFormat="1" ht="13.5" customHeight="1">
      <c r="A95" s="30" t="s">
        <v>159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99</v>
      </c>
      <c r="M95" s="31"/>
      <c r="N95" s="31" t="s">
        <v>160</v>
      </c>
      <c r="O95" s="31"/>
      <c r="P95" s="32">
        <f>61000</f>
        <v>61000</v>
      </c>
      <c r="Q95" s="32"/>
      <c r="R95" s="32"/>
      <c r="S95" s="32">
        <f>46000</f>
        <v>46000</v>
      </c>
      <c r="T95" s="32"/>
      <c r="U95" s="32"/>
      <c r="V95" s="32"/>
      <c r="W95" s="33">
        <f>15000</f>
        <v>15000</v>
      </c>
      <c r="X95" s="33"/>
    </row>
    <row r="96" spans="1:24" s="1" customFormat="1" ht="13.5" customHeight="1">
      <c r="A96" s="30" t="s">
        <v>161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99</v>
      </c>
      <c r="M96" s="31"/>
      <c r="N96" s="31" t="s">
        <v>162</v>
      </c>
      <c r="O96" s="31"/>
      <c r="P96" s="32">
        <f>0</f>
        <v>0</v>
      </c>
      <c r="Q96" s="32"/>
      <c r="R96" s="32"/>
      <c r="S96" s="34" t="s">
        <v>39</v>
      </c>
      <c r="T96" s="34"/>
      <c r="U96" s="34"/>
      <c r="V96" s="34"/>
      <c r="W96" s="35" t="s">
        <v>39</v>
      </c>
      <c r="X96" s="35"/>
    </row>
    <row r="97" spans="1:24" s="1" customFormat="1" ht="13.5" customHeight="1">
      <c r="A97" s="30" t="s">
        <v>108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99</v>
      </c>
      <c r="M97" s="31"/>
      <c r="N97" s="31" t="s">
        <v>163</v>
      </c>
      <c r="O97" s="31"/>
      <c r="P97" s="32">
        <f>0</f>
        <v>0</v>
      </c>
      <c r="Q97" s="32"/>
      <c r="R97" s="32"/>
      <c r="S97" s="34" t="s">
        <v>39</v>
      </c>
      <c r="T97" s="34"/>
      <c r="U97" s="34"/>
      <c r="V97" s="34"/>
      <c r="W97" s="35" t="s">
        <v>39</v>
      </c>
      <c r="X97" s="35"/>
    </row>
    <row r="98" spans="1:24" s="1" customFormat="1" ht="24" customHeight="1">
      <c r="A98" s="30" t="s">
        <v>164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99</v>
      </c>
      <c r="M98" s="31"/>
      <c r="N98" s="31" t="s">
        <v>165</v>
      </c>
      <c r="O98" s="31"/>
      <c r="P98" s="32">
        <f>629000</f>
        <v>629000</v>
      </c>
      <c r="Q98" s="32"/>
      <c r="R98" s="32"/>
      <c r="S98" s="32">
        <f>591549.2</f>
        <v>591549.2</v>
      </c>
      <c r="T98" s="32"/>
      <c r="U98" s="32"/>
      <c r="V98" s="32"/>
      <c r="W98" s="33">
        <f>37450.8</f>
        <v>37450.8</v>
      </c>
      <c r="X98" s="33"/>
    </row>
    <row r="99" spans="1:24" s="1" customFormat="1" ht="24" customHeight="1">
      <c r="A99" s="30" t="s">
        <v>166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99</v>
      </c>
      <c r="M99" s="31"/>
      <c r="N99" s="31" t="s">
        <v>167</v>
      </c>
      <c r="O99" s="31"/>
      <c r="P99" s="32">
        <f>7639.5</f>
        <v>7639.5</v>
      </c>
      <c r="Q99" s="32"/>
      <c r="R99" s="32"/>
      <c r="S99" s="32">
        <f>7639.5</f>
        <v>7639.5</v>
      </c>
      <c r="T99" s="32"/>
      <c r="U99" s="32"/>
      <c r="V99" s="32"/>
      <c r="W99" s="33">
        <f>0</f>
        <v>0</v>
      </c>
      <c r="X99" s="33"/>
    </row>
    <row r="100" spans="1:24" s="1" customFormat="1" ht="13.5" customHeight="1">
      <c r="A100" s="30" t="s">
        <v>161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99</v>
      </c>
      <c r="M100" s="31"/>
      <c r="N100" s="31" t="s">
        <v>168</v>
      </c>
      <c r="O100" s="31"/>
      <c r="P100" s="32">
        <f>598984</f>
        <v>598984</v>
      </c>
      <c r="Q100" s="32"/>
      <c r="R100" s="32"/>
      <c r="S100" s="32">
        <f>576506.7</f>
        <v>576506.7</v>
      </c>
      <c r="T100" s="32"/>
      <c r="U100" s="32"/>
      <c r="V100" s="32"/>
      <c r="W100" s="33">
        <f>22477.3</f>
        <v>22477.3</v>
      </c>
      <c r="X100" s="33"/>
    </row>
    <row r="101" spans="1:24" s="1" customFormat="1" ht="13.5" customHeight="1">
      <c r="A101" s="30" t="s">
        <v>108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99</v>
      </c>
      <c r="M101" s="31"/>
      <c r="N101" s="31" t="s">
        <v>169</v>
      </c>
      <c r="O101" s="31"/>
      <c r="P101" s="32">
        <f>0</f>
        <v>0</v>
      </c>
      <c r="Q101" s="32"/>
      <c r="R101" s="32"/>
      <c r="S101" s="34" t="s">
        <v>39</v>
      </c>
      <c r="T101" s="34"/>
      <c r="U101" s="34"/>
      <c r="V101" s="34"/>
      <c r="W101" s="35" t="s">
        <v>39</v>
      </c>
      <c r="X101" s="35"/>
    </row>
    <row r="102" spans="1:24" s="1" customFormat="1" ht="15" customHeight="1">
      <c r="A102" s="36" t="s">
        <v>170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7" t="s">
        <v>171</v>
      </c>
      <c r="M102" s="37"/>
      <c r="N102" s="37" t="s">
        <v>36</v>
      </c>
      <c r="O102" s="37"/>
      <c r="P102" s="38">
        <f>-2083263.44</f>
        <v>-2083263.44</v>
      </c>
      <c r="Q102" s="38"/>
      <c r="R102" s="38"/>
      <c r="S102" s="38">
        <f>-415639.55</f>
        <v>-415639.55</v>
      </c>
      <c r="T102" s="38"/>
      <c r="U102" s="38"/>
      <c r="V102" s="38"/>
      <c r="W102" s="39" t="s">
        <v>36</v>
      </c>
      <c r="X102" s="39"/>
    </row>
    <row r="103" spans="1:24" s="1" customFormat="1" ht="13.5" customHeight="1">
      <c r="A103" s="10" t="s">
        <v>10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s="1" customFormat="1" ht="13.5" customHeight="1">
      <c r="A104" s="12" t="s">
        <v>172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s="1" customFormat="1" ht="45.75" customHeight="1">
      <c r="A105" s="13" t="s">
        <v>22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 t="s">
        <v>23</v>
      </c>
      <c r="M105" s="13"/>
      <c r="N105" s="13" t="s">
        <v>173</v>
      </c>
      <c r="O105" s="13"/>
      <c r="P105" s="14" t="s">
        <v>25</v>
      </c>
      <c r="Q105" s="14"/>
      <c r="R105" s="14"/>
      <c r="S105" s="14" t="s">
        <v>26</v>
      </c>
      <c r="T105" s="14"/>
      <c r="U105" s="14"/>
      <c r="V105" s="14"/>
      <c r="W105" s="15" t="s">
        <v>27</v>
      </c>
      <c r="X105" s="15"/>
    </row>
    <row r="106" spans="1:24" s="1" customFormat="1" ht="12.75" customHeight="1">
      <c r="A106" s="16" t="s">
        <v>28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 t="s">
        <v>29</v>
      </c>
      <c r="M106" s="16"/>
      <c r="N106" s="16" t="s">
        <v>30</v>
      </c>
      <c r="O106" s="16"/>
      <c r="P106" s="17" t="s">
        <v>31</v>
      </c>
      <c r="Q106" s="17"/>
      <c r="R106" s="17"/>
      <c r="S106" s="17" t="s">
        <v>32</v>
      </c>
      <c r="T106" s="17"/>
      <c r="U106" s="17"/>
      <c r="V106" s="17"/>
      <c r="W106" s="18" t="s">
        <v>33</v>
      </c>
      <c r="X106" s="18"/>
    </row>
    <row r="107" spans="1:24" s="1" customFormat="1" ht="13.5" customHeight="1">
      <c r="A107" s="19" t="s">
        <v>174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20" t="s">
        <v>175</v>
      </c>
      <c r="M107" s="20"/>
      <c r="N107" s="20" t="s">
        <v>36</v>
      </c>
      <c r="O107" s="20"/>
      <c r="P107" s="40">
        <f>2083263.44</f>
        <v>2083263.44</v>
      </c>
      <c r="Q107" s="40"/>
      <c r="R107" s="40"/>
      <c r="S107" s="21">
        <f>415639.55</f>
        <v>415639.55</v>
      </c>
      <c r="T107" s="21"/>
      <c r="U107" s="21"/>
      <c r="V107" s="21"/>
      <c r="W107" s="41" t="s">
        <v>36</v>
      </c>
      <c r="X107" s="41"/>
    </row>
    <row r="108" spans="1:24" s="1" customFormat="1" ht="13.5" customHeight="1">
      <c r="A108" s="42" t="s">
        <v>176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3" t="s">
        <v>10</v>
      </c>
      <c r="M108" s="43"/>
      <c r="N108" s="43" t="s">
        <v>10</v>
      </c>
      <c r="O108" s="43"/>
      <c r="P108" s="44" t="s">
        <v>10</v>
      </c>
      <c r="Q108" s="44"/>
      <c r="R108" s="44"/>
      <c r="S108" s="45" t="s">
        <v>10</v>
      </c>
      <c r="T108" s="45"/>
      <c r="U108" s="45"/>
      <c r="V108" s="45"/>
      <c r="W108" s="46" t="s">
        <v>10</v>
      </c>
      <c r="X108" s="46"/>
    </row>
    <row r="109" spans="1:24" s="1" customFormat="1" ht="13.5" customHeight="1">
      <c r="A109" s="23" t="s">
        <v>177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47" t="s">
        <v>178</v>
      </c>
      <c r="M109" s="47"/>
      <c r="N109" s="24" t="s">
        <v>36</v>
      </c>
      <c r="O109" s="24"/>
      <c r="P109" s="48" t="s">
        <v>39</v>
      </c>
      <c r="Q109" s="48"/>
      <c r="R109" s="48"/>
      <c r="S109" s="28" t="s">
        <v>39</v>
      </c>
      <c r="T109" s="28"/>
      <c r="U109" s="28"/>
      <c r="V109" s="28"/>
      <c r="W109" s="49" t="s">
        <v>39</v>
      </c>
      <c r="X109" s="49"/>
    </row>
    <row r="110" spans="1:24" s="1" customFormat="1" ht="13.5" customHeight="1">
      <c r="A110" s="30" t="s">
        <v>10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178</v>
      </c>
      <c r="M110" s="31"/>
      <c r="N110" s="31" t="s">
        <v>10</v>
      </c>
      <c r="O110" s="31"/>
      <c r="P110" s="50" t="s">
        <v>39</v>
      </c>
      <c r="Q110" s="50"/>
      <c r="R110" s="50"/>
      <c r="S110" s="34" t="s">
        <v>39</v>
      </c>
      <c r="T110" s="34"/>
      <c r="U110" s="34"/>
      <c r="V110" s="34"/>
      <c r="W110" s="51" t="s">
        <v>39</v>
      </c>
      <c r="X110" s="51"/>
    </row>
    <row r="111" spans="1:24" s="1" customFormat="1" ht="13.5" customHeight="1">
      <c r="A111" s="30" t="s">
        <v>179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43" t="s">
        <v>180</v>
      </c>
      <c r="M111" s="43"/>
      <c r="N111" s="43" t="s">
        <v>36</v>
      </c>
      <c r="O111" s="43"/>
      <c r="P111" s="44" t="s">
        <v>39</v>
      </c>
      <c r="Q111" s="44"/>
      <c r="R111" s="44"/>
      <c r="S111" s="34" t="s">
        <v>39</v>
      </c>
      <c r="T111" s="34"/>
      <c r="U111" s="34"/>
      <c r="V111" s="34"/>
      <c r="W111" s="46" t="s">
        <v>39</v>
      </c>
      <c r="X111" s="46"/>
    </row>
    <row r="112" spans="1:24" s="1" customFormat="1" ht="13.5" customHeight="1">
      <c r="A112" s="30" t="s">
        <v>10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180</v>
      </c>
      <c r="M112" s="31"/>
      <c r="N112" s="31" t="s">
        <v>10</v>
      </c>
      <c r="O112" s="31"/>
      <c r="P112" s="50" t="s">
        <v>39</v>
      </c>
      <c r="Q112" s="50"/>
      <c r="R112" s="50"/>
      <c r="S112" s="34" t="s">
        <v>39</v>
      </c>
      <c r="T112" s="34"/>
      <c r="U112" s="34"/>
      <c r="V112" s="34"/>
      <c r="W112" s="51" t="s">
        <v>39</v>
      </c>
      <c r="X112" s="51"/>
    </row>
    <row r="113" spans="1:24" s="1" customFormat="1" ht="13.5" customHeight="1">
      <c r="A113" s="30" t="s">
        <v>181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182</v>
      </c>
      <c r="M113" s="31"/>
      <c r="N113" s="31" t="s">
        <v>183</v>
      </c>
      <c r="O113" s="31"/>
      <c r="P113" s="52">
        <f>2083263.44</f>
        <v>2083263.44</v>
      </c>
      <c r="Q113" s="52"/>
      <c r="R113" s="52"/>
      <c r="S113" s="32">
        <f>415639.55</f>
        <v>415639.55</v>
      </c>
      <c r="T113" s="32"/>
      <c r="U113" s="32"/>
      <c r="V113" s="32"/>
      <c r="W113" s="53">
        <f>1667623.89</f>
        <v>1667623.89</v>
      </c>
      <c r="X113" s="53"/>
    </row>
    <row r="114" spans="1:24" s="1" customFormat="1" ht="13.5" customHeight="1">
      <c r="A114" s="30" t="s">
        <v>184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185</v>
      </c>
      <c r="M114" s="31"/>
      <c r="N114" s="31" t="s">
        <v>186</v>
      </c>
      <c r="O114" s="31"/>
      <c r="P114" s="52">
        <f>-39536235</f>
        <v>-39536235</v>
      </c>
      <c r="Q114" s="52"/>
      <c r="R114" s="52"/>
      <c r="S114" s="32">
        <f>-26818897.11</f>
        <v>-26818897.11</v>
      </c>
      <c r="T114" s="32"/>
      <c r="U114" s="32"/>
      <c r="V114" s="32"/>
      <c r="W114" s="54" t="s">
        <v>36</v>
      </c>
      <c r="X114" s="54"/>
    </row>
    <row r="115" spans="1:24" s="1" customFormat="1" ht="13.5" customHeight="1">
      <c r="A115" s="30" t="s">
        <v>187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188</v>
      </c>
      <c r="M115" s="31"/>
      <c r="N115" s="31" t="s">
        <v>189</v>
      </c>
      <c r="O115" s="31"/>
      <c r="P115" s="52">
        <f>41619498.44</f>
        <v>41619498.44</v>
      </c>
      <c r="Q115" s="52"/>
      <c r="R115" s="52"/>
      <c r="S115" s="32">
        <f>27234536.66</f>
        <v>27234536.66</v>
      </c>
      <c r="T115" s="32"/>
      <c r="U115" s="32"/>
      <c r="V115" s="32"/>
      <c r="W115" s="54" t="s">
        <v>36</v>
      </c>
      <c r="X115" s="54"/>
    </row>
    <row r="116" spans="1:24" s="1" customFormat="1" ht="13.5" customHeight="1">
      <c r="A116" s="55" t="s">
        <v>10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</row>
    <row r="117" spans="1:24" s="1" customFormat="1" ht="13.5" customHeight="1">
      <c r="A117" s="10" t="s">
        <v>10</v>
      </c>
      <c r="B117" s="10"/>
      <c r="C117" s="10"/>
      <c r="D117" s="10"/>
      <c r="E117" s="10"/>
      <c r="F117" s="10"/>
      <c r="G117" s="10"/>
      <c r="H117" s="10"/>
      <c r="I117" s="56" t="s">
        <v>10</v>
      </c>
      <c r="J117" s="56"/>
      <c r="K117" s="56"/>
      <c r="L117" s="56"/>
      <c r="M117" s="56"/>
      <c r="N117" s="56" t="s">
        <v>190</v>
      </c>
      <c r="O117" s="56"/>
      <c r="P117" s="56"/>
      <c r="Q117" s="56"/>
      <c r="R117" s="10" t="s">
        <v>10</v>
      </c>
      <c r="S117" s="10"/>
      <c r="T117" s="10"/>
      <c r="U117" s="10"/>
      <c r="V117" s="10"/>
      <c r="W117" s="10"/>
      <c r="X117" s="10"/>
    </row>
    <row r="118" spans="1:24" s="1" customFormat="1" ht="13.5" customHeight="1">
      <c r="A118" s="10" t="s">
        <v>10</v>
      </c>
      <c r="B118" s="10"/>
      <c r="C118" s="10"/>
      <c r="D118" s="10"/>
      <c r="E118" s="10"/>
      <c r="F118" s="10"/>
      <c r="G118" s="10"/>
      <c r="H118" s="10"/>
      <c r="I118" s="5" t="s">
        <v>10</v>
      </c>
      <c r="J118" s="57" t="s">
        <v>191</v>
      </c>
      <c r="K118" s="57"/>
      <c r="L118" s="57"/>
      <c r="M118" s="5" t="s">
        <v>10</v>
      </c>
      <c r="N118" s="5" t="s">
        <v>10</v>
      </c>
      <c r="O118" s="57" t="s">
        <v>192</v>
      </c>
      <c r="P118" s="57"/>
      <c r="Q118" s="10" t="s">
        <v>10</v>
      </c>
      <c r="R118" s="10"/>
      <c r="S118" s="10"/>
      <c r="T118" s="10"/>
      <c r="U118" s="10"/>
      <c r="V118" s="10"/>
      <c r="W118" s="10"/>
      <c r="X118" s="10"/>
    </row>
    <row r="119" spans="1:24" s="1" customFormat="1" ht="7.5" customHeight="1">
      <c r="A119" s="10" t="s">
        <v>10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s="1" customFormat="1" ht="13.5" customHeight="1">
      <c r="A120" s="10" t="s">
        <v>10</v>
      </c>
      <c r="B120" s="10"/>
      <c r="C120" s="10"/>
      <c r="D120" s="10"/>
      <c r="E120" s="10"/>
      <c r="F120" s="10"/>
      <c r="G120" s="10"/>
      <c r="H120" s="10"/>
      <c r="I120" s="56" t="s">
        <v>10</v>
      </c>
      <c r="J120" s="56"/>
      <c r="K120" s="56"/>
      <c r="L120" s="56"/>
      <c r="M120" s="56"/>
      <c r="N120" s="56" t="s">
        <v>193</v>
      </c>
      <c r="O120" s="56"/>
      <c r="P120" s="56"/>
      <c r="Q120" s="56"/>
      <c r="R120" s="10" t="s">
        <v>10</v>
      </c>
      <c r="S120" s="10"/>
      <c r="T120" s="10"/>
      <c r="U120" s="10"/>
      <c r="V120" s="10"/>
      <c r="W120" s="10"/>
      <c r="X120" s="10"/>
    </row>
    <row r="121" spans="1:24" s="1" customFormat="1" ht="13.5" customHeight="1">
      <c r="A121" s="10" t="s">
        <v>10</v>
      </c>
      <c r="B121" s="10"/>
      <c r="C121" s="10"/>
      <c r="D121" s="10"/>
      <c r="E121" s="10"/>
      <c r="F121" s="10"/>
      <c r="G121" s="10"/>
      <c r="H121" s="10"/>
      <c r="I121" s="5" t="s">
        <v>10</v>
      </c>
      <c r="J121" s="57" t="s">
        <v>191</v>
      </c>
      <c r="K121" s="57"/>
      <c r="L121" s="57"/>
      <c r="M121" s="5" t="s">
        <v>10</v>
      </c>
      <c r="N121" s="5" t="s">
        <v>10</v>
      </c>
      <c r="O121" s="57" t="s">
        <v>192</v>
      </c>
      <c r="P121" s="57"/>
      <c r="Q121" s="10" t="s">
        <v>10</v>
      </c>
      <c r="R121" s="10"/>
      <c r="S121" s="10"/>
      <c r="T121" s="10"/>
      <c r="U121" s="10"/>
      <c r="V121" s="10"/>
      <c r="W121" s="10"/>
      <c r="X121" s="10"/>
    </row>
    <row r="122" spans="1:24" s="1" customFormat="1" ht="7.5" customHeight="1">
      <c r="A122" s="10" t="s">
        <v>10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s="1" customFormat="1" ht="13.5" customHeight="1">
      <c r="A123" s="10" t="s">
        <v>194</v>
      </c>
      <c r="B123" s="10"/>
      <c r="C123" s="56" t="s">
        <v>10</v>
      </c>
      <c r="D123" s="56"/>
      <c r="E123" s="56"/>
      <c r="F123" s="56"/>
      <c r="G123" s="56"/>
      <c r="H123" s="56"/>
      <c r="I123" s="56" t="s">
        <v>10</v>
      </c>
      <c r="J123" s="56"/>
      <c r="K123" s="56"/>
      <c r="L123" s="56"/>
      <c r="M123" s="56"/>
      <c r="N123" s="56" t="s">
        <v>193</v>
      </c>
      <c r="O123" s="56"/>
      <c r="P123" s="56"/>
      <c r="Q123" s="56"/>
      <c r="R123" s="10" t="s">
        <v>10</v>
      </c>
      <c r="S123" s="10"/>
      <c r="T123" s="10"/>
      <c r="U123" s="10"/>
      <c r="V123" s="10"/>
      <c r="W123" s="10"/>
      <c r="X123" s="10"/>
    </row>
    <row r="124" spans="1:24" s="1" customFormat="1" ht="13.5" customHeight="1">
      <c r="A124" s="10" t="s">
        <v>10</v>
      </c>
      <c r="B124" s="10"/>
      <c r="C124" s="5" t="s">
        <v>10</v>
      </c>
      <c r="D124" s="57" t="s">
        <v>195</v>
      </c>
      <c r="E124" s="57"/>
      <c r="F124" s="57"/>
      <c r="G124" s="57"/>
      <c r="H124" s="5" t="s">
        <v>10</v>
      </c>
      <c r="I124" s="5" t="s">
        <v>10</v>
      </c>
      <c r="J124" s="57" t="s">
        <v>191</v>
      </c>
      <c r="K124" s="57"/>
      <c r="L124" s="57"/>
      <c r="M124" s="5" t="s">
        <v>10</v>
      </c>
      <c r="N124" s="5" t="s">
        <v>10</v>
      </c>
      <c r="O124" s="57" t="s">
        <v>192</v>
      </c>
      <c r="P124" s="57"/>
      <c r="Q124" s="10" t="s">
        <v>10</v>
      </c>
      <c r="R124" s="10"/>
      <c r="S124" s="10"/>
      <c r="T124" s="10"/>
      <c r="U124" s="10"/>
      <c r="V124" s="10"/>
      <c r="W124" s="10"/>
      <c r="X124" s="10"/>
    </row>
    <row r="125" spans="1:24" s="1" customFormat="1" ht="15.75" customHeight="1">
      <c r="A125" s="10" t="s">
        <v>10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s="1" customFormat="1" ht="13.5" customHeight="1">
      <c r="A126" s="58" t="s">
        <v>196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10" t="s">
        <v>10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s="1" customFormat="1" ht="13.5" customHeight="1">
      <c r="A127" s="9" t="s">
        <v>197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</sheetData>
  <sheetProtection/>
  <mergeCells count="665">
    <mergeCell ref="A126:J126"/>
    <mergeCell ref="K126:X126"/>
    <mergeCell ref="A127:X127"/>
    <mergeCell ref="A124:B124"/>
    <mergeCell ref="D124:G124"/>
    <mergeCell ref="J124:L124"/>
    <mergeCell ref="O124:P124"/>
    <mergeCell ref="Q124:X124"/>
    <mergeCell ref="A125:X125"/>
    <mergeCell ref="A122:X122"/>
    <mergeCell ref="A123:B123"/>
    <mergeCell ref="C123:H123"/>
    <mergeCell ref="I123:M123"/>
    <mergeCell ref="N123:Q123"/>
    <mergeCell ref="R123:X123"/>
    <mergeCell ref="A119:X119"/>
    <mergeCell ref="A120:H120"/>
    <mergeCell ref="I120:M120"/>
    <mergeCell ref="N120:Q120"/>
    <mergeCell ref="R120:X120"/>
    <mergeCell ref="A121:H121"/>
    <mergeCell ref="J121:L121"/>
    <mergeCell ref="O121:P121"/>
    <mergeCell ref="Q121:X121"/>
    <mergeCell ref="A116:X116"/>
    <mergeCell ref="A117:H117"/>
    <mergeCell ref="I117:M117"/>
    <mergeCell ref="N117:Q117"/>
    <mergeCell ref="R117:X117"/>
    <mergeCell ref="A118:H118"/>
    <mergeCell ref="J118:L118"/>
    <mergeCell ref="O118:P118"/>
    <mergeCell ref="Q118:X118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3:X103"/>
    <mergeCell ref="A104:X104"/>
    <mergeCell ref="A105:K105"/>
    <mergeCell ref="L105:M105"/>
    <mergeCell ref="N105:O105"/>
    <mergeCell ref="P105:R105"/>
    <mergeCell ref="S105:V105"/>
    <mergeCell ref="W105:X105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2:X42"/>
    <mergeCell ref="A43:X43"/>
    <mergeCell ref="A44:K44"/>
    <mergeCell ref="L44:M44"/>
    <mergeCell ref="N44:O44"/>
    <mergeCell ref="P44:R44"/>
    <mergeCell ref="S44:V44"/>
    <mergeCell ref="W44:X44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42" max="255" man="1"/>
    <brk id="10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2023-02-10T05:13:11Z</cp:lastPrinted>
  <dcterms:created xsi:type="dcterms:W3CDTF">2023-02-10T05:17:33Z</dcterms:created>
  <dcterms:modified xsi:type="dcterms:W3CDTF">2023-02-10T05:17:33Z</dcterms:modified>
  <cp:category/>
  <cp:version/>
  <cp:contentType/>
  <cp:contentStatus/>
</cp:coreProperties>
</file>