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<sst xmlns="http://schemas.openxmlformats.org/spreadsheetml/2006/main" count="457" uniqueCount="191">
  <si>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</si>
  <si>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</si>
  <si>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</si>
  <si>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</si>
  <si>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</si>
  <si>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</si>
  <si>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</si>
  <si>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Администрация Середского  СП ЯО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</si>
  <si>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</si>
  <si>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</si>
  <si>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</si>
  <si>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</si>
  <si>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Середского СП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</si>
  <si>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</si>
  <si>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</si>
  <si>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</si>
  <si>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</si>
  <si>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</si>
  <si>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</si>
  <si>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</si>
  <si>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</si>
  <si>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</si>
  <si>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</si>
  <si>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</si>
  <si>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</si>
  <si>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</si>
  <si>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</si>
  <si>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</si>
  <si>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</si>
  <si>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</si>
  <si>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</si>
  <si>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</si>
  <si>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</si>
  <si>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</si>
  <si>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</si>
  <si>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</si>
  <si>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</si>
  <si>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</si>
  <si>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</si>
  <si>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</si>
  <si>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</si>
  <si>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</si>
  <si>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</si>
  <si>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</si>
  <si>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</si>
  <si>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</si>
  <si>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</si>
  <si>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</si>
  <si>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</si>
  <si>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</si>
  <si>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</si>
  <si>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</si>
  <si>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</si>
  <si>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</si>
  <si>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</si>
  <si>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</si>
  <si>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</si>
  <si>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</si>
  <si>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</si>
  <si>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</si>
  <si>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</si>
  <si>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</si>
  <si>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</si>
  <si>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</si>
  <si>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</si>
  <si>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</si>
  <si>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</si>
  <si>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806 20805000 10 0000 150</t>
  </si>
  <si>
    <t>820 10804020 01 0000 110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</si>
  <si>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</si>
  <si>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</si>
  <si>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</si>
  <si>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820 11109045 10 0000 120</t>
  </si>
  <si>
    <t>Прочие доходы от компенсации затрат бюджетов сельских поселений</t>
  </si>
  <si>
    <t>820 11302995 10 0000 130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</si>
  <si>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</si>
  <si>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820 11402053 10 0000 410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</si>
  <si>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</si>
  <si>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820 11406025 10 0000 430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</si>
  <si>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</si>
  <si>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820 11610031 10 0000 140</t>
  </si>
  <si>
    <t>Невыясненные поступления, зачисляемые в бюджеты сельских поселений</t>
  </si>
  <si>
    <t>820 11701050 10 0000 180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</si>
  <si>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</si>
  <si>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820 20215001 10 0000 150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</si>
  <si>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</si>
  <si>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820 20220041 10 0000 150</t>
  </si>
  <si>
    <t>Прочие субсидии бюджетам сельских поселений</t>
  </si>
  <si>
    <t>820 20229999 10 0000 150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</si>
  <si>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</si>
  <si>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</si>
  <si>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</si>
  <si>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820 20240014 10 0000 150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</si>
  <si>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</si>
  <si>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</si>
  <si>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</si>
  <si>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</si>
  <si>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</si>
  <si>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820 0102 5000013020 121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</si>
  <si>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</si>
  <si>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820 0102 5000013020 129</t>
  </si>
  <si>
    <t>820 0104 5000013040 121</t>
  </si>
  <si>
    <t>Иные выплаты персоналу государственных (муниципальных) органов, за исключением фонда оплаты труда</t>
  </si>
  <si>
    <t>820 0104 5000013040 122</t>
  </si>
  <si>
    <t>820 0104 5000013040 129</t>
  </si>
  <si>
    <t>Прочая закупка товаров, работ и услуг</t>
  </si>
  <si>
    <t>820 0104 5000013040 244</t>
  </si>
  <si>
    <t>Закупка энергетических ресурсов</t>
  </si>
  <si>
    <t>820 0104 5000013040 247</t>
  </si>
  <si>
    <t>Уплата налога на имущество организаций и земельного налога</t>
  </si>
  <si>
    <t>820 0104 5000013040 851</t>
  </si>
  <si>
    <t>Уплата прочих налогов, сборов</t>
  </si>
  <si>
    <t>820 0104 5000013040 852</t>
  </si>
  <si>
    <t>Уплата иных платежей</t>
  </si>
  <si>
    <t>820 0104 5000013040 853</t>
  </si>
  <si>
    <t>Резервные средства</t>
  </si>
  <si>
    <t>820 0111 5000013090 870</t>
  </si>
  <si>
    <t>820 0113 2310113010 244</t>
  </si>
  <si>
    <t>820 0113 3010113010 244</t>
  </si>
  <si>
    <t>820 0113 3610113100 244</t>
  </si>
  <si>
    <t>Иные межбюджетные трансферты</t>
  </si>
  <si>
    <t>820 0113 5000013050 540</t>
  </si>
  <si>
    <t>820 0113 5000013060 244</t>
  </si>
  <si>
    <t>820 0113 5000013060 247</t>
  </si>
  <si>
    <t>Исполнение судебных актов Российской Федерации и мировых соглашений по возмещению причиненного вреда</t>
  </si>
  <si>
    <t>820 0113 5000013060 831</t>
  </si>
  <si>
    <t>820 0113 5000013060 852</t>
  </si>
  <si>
    <t>820 0113 5000013060 853</t>
  </si>
  <si>
    <t>820 0203 5000051180 121</t>
  </si>
  <si>
    <t>820 0203 5000051180 129</t>
  </si>
  <si>
    <t>820 0203 5000051180 244</t>
  </si>
  <si>
    <t>820 0309 0810113180 244</t>
  </si>
  <si>
    <t>820 0309 0810213190 244</t>
  </si>
  <si>
    <t>820 0309 0810313200 244</t>
  </si>
  <si>
    <t>820 0309 1010113070 244</t>
  </si>
  <si>
    <t>820 0310 4010113010 244</t>
  </si>
  <si>
    <t>820 0409 2410110220 244</t>
  </si>
  <si>
    <t>820 0409 2410112440 244</t>
  </si>
  <si>
    <t>820 0409 2410113010 244</t>
  </si>
  <si>
    <t>820 0409 2410117350 244</t>
  </si>
  <si>
    <t>820 0409 2410172440 244</t>
  </si>
  <si>
    <t>820 0409 2410177350 244</t>
  </si>
  <si>
    <t>820 0412 2520113880 540</t>
  </si>
  <si>
    <t>820 0412 2520172880 540</t>
  </si>
  <si>
    <t>820 0501 1410113010 244</t>
  </si>
  <si>
    <t>820 0502 1410210020 244</t>
  </si>
  <si>
    <t>Бюджетные инвестиции в объекты капитального строительства государственной (муниципальной) собственности</t>
  </si>
  <si>
    <t>820 0502 1410210020 414</t>
  </si>
  <si>
    <t>820 0503 1410313010 244</t>
  </si>
  <si>
    <t>820 0503 1410313010 247</t>
  </si>
  <si>
    <t>820 0503 1410413030 244</t>
  </si>
  <si>
    <t>820 0503 1410413080 244</t>
  </si>
  <si>
    <t>820 0503 1410413120 244</t>
  </si>
  <si>
    <t>820 0503 2510113210 244</t>
  </si>
  <si>
    <t>820 0503 2510170410 244</t>
  </si>
  <si>
    <t>820 0707 1310113010 244</t>
  </si>
  <si>
    <t>820 0801 1310113010 244</t>
  </si>
  <si>
    <t>820 0801 1310113010 540</t>
  </si>
  <si>
    <t>Иные пенсии, социальные доплаты к пенсиям</t>
  </si>
  <si>
    <t>820 1001 5000013160 312</t>
  </si>
  <si>
    <t>Пособия, компенсации, меры социальной поддержки по публичным нормативным обязательствам</t>
  </si>
  <si>
    <t>820 1003 5000013170 313</t>
  </si>
  <si>
    <t>820 1102 1310113010 244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</si>
  <si>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</si>
  <si>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</si>
  <si>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</si>
  <si>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</si>
  <si>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</si>
  <si>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</si>
  <si>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</si>
  <si>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</si>
  <si>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</si>
  <si>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</si>
  <si>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</si>
  <si>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</si>
  <si>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</si>
  <si>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</si>
  <si>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</si>
  <si>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</si>
  <si>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820 01050201 10 0000 510</t>
  </si>
  <si>
    <t xml:space="preserve">     уменьшение остатков средств</t>
  </si>
  <si>
    <t>720</t>
  </si>
  <si>
    <t>820 01050201 10 0000 610</t>
  </si>
  <si>
    <t>Прудова Л. А.</t>
  </si>
  <si>
    <t>(подпись)</t>
  </si>
  <si>
    <t>(расшифровка подписи)</t>
  </si>
  <si>
    <t>Смирнова Т. А.</t>
  </si>
  <si>
    <t>Исполнитель:</t>
  </si>
  <si>
    <t>(должность)</t>
  </si>
  <si>
    <t xml:space="preserve">   6 сентября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</si>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</sst>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45047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34206720.23</f>
        <v>34206720.23</v>
      </c>
      <c r="Q12" s="21"/>
      <c r="R12" s="21"/>
      <c r="S12" s="21">
        <f>5398564.3</f>
        <v>5398564.3</v>
      </c>
      <c r="T12" s="21"/>
      <c r="U12" s="21"/>
      <c r="V12" s="21"/>
      <c r="W12" s="22">
        <f>28808155.93</f>
        <v>28808155.93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0</f>
        <v>0</v>
      </c>
      <c r="Q13" s="25"/>
      <c r="R13" s="25"/>
      <c r="S13" s="26" t="s">
        <v>39</v>
      </c>
      <c r="T13" s="26"/>
      <c r="U13" s="26"/>
      <c r="V13" s="26"/>
      <c r="W13" s="27" t="s">
        <v>39</v>
      </c>
      <c r="X13" s="27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41</v>
      </c>
      <c r="O14" s="24"/>
      <c r="P14" s="25">
        <f>0</f>
        <v>0</v>
      </c>
      <c r="Q14" s="25"/>
      <c r="R14" s="25"/>
      <c r="S14" s="26" t="s">
        <v>39</v>
      </c>
      <c r="T14" s="26"/>
      <c r="U14" s="26"/>
      <c r="V14" s="26"/>
      <c r="W14" s="27" t="s">
        <v>39</v>
      </c>
      <c r="X14" s="27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0</f>
        <v>0</v>
      </c>
      <c r="Q15" s="25"/>
      <c r="R15" s="25"/>
      <c r="S15" s="26" t="s">
        <v>39</v>
      </c>
      <c r="T15" s="26"/>
      <c r="U15" s="26"/>
      <c r="V15" s="26"/>
      <c r="W15" s="27" t="s">
        <v>39</v>
      </c>
      <c r="X15" s="27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0</f>
        <v>0</v>
      </c>
      <c r="Q16" s="25"/>
      <c r="R16" s="25"/>
      <c r="S16" s="26" t="s">
        <v>39</v>
      </c>
      <c r="T16" s="26"/>
      <c r="U16" s="26"/>
      <c r="V16" s="26"/>
      <c r="W16" s="27" t="s">
        <v>39</v>
      </c>
      <c r="X16" s="27"/>
    </row>
    <row r="17" spans="1:24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152000</f>
        <v>152000</v>
      </c>
      <c r="Q17" s="25"/>
      <c r="R17" s="25"/>
      <c r="S17" s="25">
        <f>27747.54</f>
        <v>27747.54</v>
      </c>
      <c r="T17" s="25"/>
      <c r="U17" s="25"/>
      <c r="V17" s="25"/>
      <c r="W17" s="28">
        <f>124252.46</f>
        <v>124252.46</v>
      </c>
      <c r="X17" s="28"/>
    </row>
    <row r="18" spans="1:24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6" t="s">
        <v>39</v>
      </c>
      <c r="Q18" s="26"/>
      <c r="R18" s="26"/>
      <c r="S18" s="25">
        <f>-163.19</f>
        <v>-163.19</v>
      </c>
      <c r="T18" s="25"/>
      <c r="U18" s="25"/>
      <c r="V18" s="25"/>
      <c r="W18" s="27" t="s">
        <v>39</v>
      </c>
      <c r="X18" s="27"/>
    </row>
    <row r="19" spans="1:24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6" t="s">
        <v>39</v>
      </c>
      <c r="Q19" s="26"/>
      <c r="R19" s="26"/>
      <c r="S19" s="25">
        <f>593.93</f>
        <v>593.93</v>
      </c>
      <c r="T19" s="25"/>
      <c r="U19" s="25"/>
      <c r="V19" s="25"/>
      <c r="W19" s="27" t="s">
        <v>39</v>
      </c>
      <c r="X19" s="27"/>
    </row>
    <row r="20" spans="1:24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52</v>
      </c>
      <c r="O20" s="24"/>
      <c r="P20" s="25">
        <f>1875000</f>
        <v>1875000</v>
      </c>
      <c r="Q20" s="25"/>
      <c r="R20" s="25"/>
      <c r="S20" s="25">
        <f>736602.2</f>
        <v>736602.2</v>
      </c>
      <c r="T20" s="25"/>
      <c r="U20" s="25"/>
      <c r="V20" s="25"/>
      <c r="W20" s="28">
        <f>1138397.8</f>
        <v>1138397.8</v>
      </c>
      <c r="X20" s="28"/>
    </row>
    <row r="21" spans="1:24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53</v>
      </c>
      <c r="O21" s="24"/>
      <c r="P21" s="25">
        <f>10000</f>
        <v>10000</v>
      </c>
      <c r="Q21" s="25"/>
      <c r="R21" s="25"/>
      <c r="S21" s="25">
        <f>3382.1</f>
        <v>3382.1</v>
      </c>
      <c r="T21" s="25"/>
      <c r="U21" s="25"/>
      <c r="V21" s="25"/>
      <c r="W21" s="28">
        <f>6617.9</f>
        <v>6617.9</v>
      </c>
      <c r="X21" s="28"/>
    </row>
    <row r="22" spans="1:24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54</v>
      </c>
      <c r="O22" s="24"/>
      <c r="P22" s="25">
        <f>2290000</f>
        <v>2290000</v>
      </c>
      <c r="Q22" s="25"/>
      <c r="R22" s="25"/>
      <c r="S22" s="25">
        <f>784383.37</f>
        <v>784383.37</v>
      </c>
      <c r="T22" s="25"/>
      <c r="U22" s="25"/>
      <c r="V22" s="25"/>
      <c r="W22" s="28">
        <f>1505616.63</f>
        <v>1505616.63</v>
      </c>
      <c r="X22" s="28"/>
    </row>
    <row r="23" spans="1:24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55</v>
      </c>
      <c r="O23" s="24"/>
      <c r="P23" s="25">
        <f>-200000</f>
        <v>-200000</v>
      </c>
      <c r="Q23" s="25"/>
      <c r="R23" s="25"/>
      <c r="S23" s="25">
        <f>-91234.01</f>
        <v>-91234.01</v>
      </c>
      <c r="T23" s="25"/>
      <c r="U23" s="25"/>
      <c r="V23" s="25"/>
      <c r="W23" s="28">
        <f>-108765.99</f>
        <v>-108765.99</v>
      </c>
      <c r="X23" s="28"/>
    </row>
    <row r="24" spans="1:24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57</v>
      </c>
      <c r="O24" s="24"/>
      <c r="P24" s="25">
        <f>10000</f>
        <v>10000</v>
      </c>
      <c r="Q24" s="25"/>
      <c r="R24" s="25"/>
      <c r="S24" s="25">
        <f>23444.6</f>
        <v>23444.6</v>
      </c>
      <c r="T24" s="25"/>
      <c r="U24" s="25"/>
      <c r="V24" s="25"/>
      <c r="W24" s="27" t="s">
        <v>39</v>
      </c>
      <c r="X24" s="27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59</v>
      </c>
      <c r="O25" s="24"/>
      <c r="P25" s="25">
        <f>229000</f>
        <v>229000</v>
      </c>
      <c r="Q25" s="25"/>
      <c r="R25" s="25"/>
      <c r="S25" s="25">
        <f>18198.61</f>
        <v>18198.61</v>
      </c>
      <c r="T25" s="25"/>
      <c r="U25" s="25"/>
      <c r="V25" s="25"/>
      <c r="W25" s="28">
        <f>210801.39</f>
        <v>210801.39</v>
      </c>
      <c r="X25" s="28"/>
    </row>
    <row r="26" spans="1:24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61</v>
      </c>
      <c r="O26" s="24"/>
      <c r="P26" s="25">
        <f>2200000</f>
        <v>2200000</v>
      </c>
      <c r="Q26" s="25"/>
      <c r="R26" s="25"/>
      <c r="S26" s="25">
        <f>-2615925.32</f>
        <v>-2615925.32</v>
      </c>
      <c r="T26" s="25"/>
      <c r="U26" s="25"/>
      <c r="V26" s="25"/>
      <c r="W26" s="28">
        <f>4815925.32</f>
        <v>4815925.32</v>
      </c>
      <c r="X26" s="28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63</v>
      </c>
      <c r="O27" s="24"/>
      <c r="P27" s="25">
        <f>2020000</f>
        <v>2020000</v>
      </c>
      <c r="Q27" s="25"/>
      <c r="R27" s="25"/>
      <c r="S27" s="25">
        <f>109658.24</f>
        <v>109658.24</v>
      </c>
      <c r="T27" s="25"/>
      <c r="U27" s="25"/>
      <c r="V27" s="25"/>
      <c r="W27" s="28">
        <f>1910341.76</f>
        <v>1910341.76</v>
      </c>
      <c r="X27" s="28"/>
    </row>
    <row r="28" spans="1:24" s="1" customFormat="1" ht="4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65</v>
      </c>
      <c r="O28" s="24"/>
      <c r="P28" s="25">
        <f>0</f>
        <v>0</v>
      </c>
      <c r="Q28" s="25"/>
      <c r="R28" s="25"/>
      <c r="S28" s="26" t="s">
        <v>39</v>
      </c>
      <c r="T28" s="26"/>
      <c r="U28" s="26"/>
      <c r="V28" s="26"/>
      <c r="W28" s="27" t="s">
        <v>39</v>
      </c>
      <c r="X28" s="27"/>
    </row>
    <row r="29" spans="1:24" s="1" customFormat="1" ht="54.75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67</v>
      </c>
      <c r="O29" s="24"/>
      <c r="P29" s="26" t="s">
        <v>39</v>
      </c>
      <c r="Q29" s="26"/>
      <c r="R29" s="26"/>
      <c r="S29" s="25">
        <f>0</f>
        <v>0</v>
      </c>
      <c r="T29" s="25"/>
      <c r="U29" s="25"/>
      <c r="V29" s="25"/>
      <c r="W29" s="27" t="s">
        <v>39</v>
      </c>
      <c r="X29" s="27"/>
    </row>
    <row r="30" spans="1:24" s="1" customFormat="1" ht="45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68</v>
      </c>
      <c r="O30" s="24"/>
      <c r="P30" s="25">
        <f>5000</f>
        <v>5000</v>
      </c>
      <c r="Q30" s="25"/>
      <c r="R30" s="25"/>
      <c r="S30" s="25">
        <f>1500</f>
        <v>1500</v>
      </c>
      <c r="T30" s="25"/>
      <c r="U30" s="25"/>
      <c r="V30" s="25"/>
      <c r="W30" s="28">
        <f>3500</f>
        <v>3500</v>
      </c>
      <c r="X30" s="28"/>
    </row>
    <row r="31" spans="1:24" s="1" customFormat="1" ht="45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70</v>
      </c>
      <c r="O31" s="24"/>
      <c r="P31" s="25">
        <f>50000</f>
        <v>50000</v>
      </c>
      <c r="Q31" s="25"/>
      <c r="R31" s="25"/>
      <c r="S31" s="26" t="s">
        <v>39</v>
      </c>
      <c r="T31" s="26"/>
      <c r="U31" s="26"/>
      <c r="V31" s="26"/>
      <c r="W31" s="28">
        <f>50000</f>
        <v>50000</v>
      </c>
      <c r="X31" s="28"/>
    </row>
    <row r="32" spans="1:24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72</v>
      </c>
      <c r="O32" s="24"/>
      <c r="P32" s="25">
        <f>15000</f>
        <v>15000</v>
      </c>
      <c r="Q32" s="25"/>
      <c r="R32" s="25"/>
      <c r="S32" s="25">
        <f>17173.5</f>
        <v>17173.5</v>
      </c>
      <c r="T32" s="25"/>
      <c r="U32" s="25"/>
      <c r="V32" s="25"/>
      <c r="W32" s="27" t="s">
        <v>39</v>
      </c>
      <c r="X32" s="27"/>
    </row>
    <row r="33" spans="1:24" s="1" customFormat="1" ht="13.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74</v>
      </c>
      <c r="O33" s="24"/>
      <c r="P33" s="25">
        <f>50000</f>
        <v>50000</v>
      </c>
      <c r="Q33" s="25"/>
      <c r="R33" s="25"/>
      <c r="S33" s="25">
        <f>60601.95</f>
        <v>60601.95</v>
      </c>
      <c r="T33" s="25"/>
      <c r="U33" s="25"/>
      <c r="V33" s="25"/>
      <c r="W33" s="27" t="s">
        <v>39</v>
      </c>
      <c r="X33" s="27"/>
    </row>
    <row r="34" spans="1:24" s="1" customFormat="1" ht="54.75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76</v>
      </c>
      <c r="O34" s="24"/>
      <c r="P34" s="25">
        <f>597200</f>
        <v>597200</v>
      </c>
      <c r="Q34" s="25"/>
      <c r="R34" s="25"/>
      <c r="S34" s="25">
        <f>132200</f>
        <v>132200</v>
      </c>
      <c r="T34" s="25"/>
      <c r="U34" s="25"/>
      <c r="V34" s="25"/>
      <c r="W34" s="28">
        <f>465000</f>
        <v>465000</v>
      </c>
      <c r="X34" s="28"/>
    </row>
    <row r="35" spans="1:24" s="1" customFormat="1" ht="33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78</v>
      </c>
      <c r="O35" s="24"/>
      <c r="P35" s="25">
        <f>100000</f>
        <v>100000</v>
      </c>
      <c r="Q35" s="25"/>
      <c r="R35" s="25"/>
      <c r="S35" s="26" t="s">
        <v>39</v>
      </c>
      <c r="T35" s="26"/>
      <c r="U35" s="26"/>
      <c r="V35" s="26"/>
      <c r="W35" s="28">
        <f>100000</f>
        <v>100000</v>
      </c>
      <c r="X35" s="28"/>
    </row>
    <row r="36" spans="1:24" s="1" customFormat="1" ht="33.7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80</v>
      </c>
      <c r="O36" s="24"/>
      <c r="P36" s="26" t="s">
        <v>39</v>
      </c>
      <c r="Q36" s="26"/>
      <c r="R36" s="26"/>
      <c r="S36" s="25">
        <f>18600</f>
        <v>18600</v>
      </c>
      <c r="T36" s="25"/>
      <c r="U36" s="25"/>
      <c r="V36" s="25"/>
      <c r="W36" s="27" t="s">
        <v>39</v>
      </c>
      <c r="X36" s="27"/>
    </row>
    <row r="37" spans="1:24" s="1" customFormat="1" ht="13.5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35</v>
      </c>
      <c r="M37" s="24"/>
      <c r="N37" s="24" t="s">
        <v>82</v>
      </c>
      <c r="O37" s="24"/>
      <c r="P37" s="26" t="s">
        <v>39</v>
      </c>
      <c r="Q37" s="26"/>
      <c r="R37" s="26"/>
      <c r="S37" s="25">
        <f>0</f>
        <v>0</v>
      </c>
      <c r="T37" s="25"/>
      <c r="U37" s="25"/>
      <c r="V37" s="25"/>
      <c r="W37" s="27" t="s">
        <v>39</v>
      </c>
      <c r="X37" s="27"/>
    </row>
    <row r="38" spans="1:24" s="1" customFormat="1" ht="24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35</v>
      </c>
      <c r="M38" s="24"/>
      <c r="N38" s="24" t="s">
        <v>84</v>
      </c>
      <c r="O38" s="24"/>
      <c r="P38" s="25">
        <f>7671500</f>
        <v>7671500</v>
      </c>
      <c r="Q38" s="25"/>
      <c r="R38" s="25"/>
      <c r="S38" s="25">
        <f>4419375</f>
        <v>4419375</v>
      </c>
      <c r="T38" s="25"/>
      <c r="U38" s="25"/>
      <c r="V38" s="25"/>
      <c r="W38" s="28">
        <f>3252125</f>
        <v>3252125</v>
      </c>
      <c r="X38" s="28"/>
    </row>
    <row r="39" spans="1:24" s="1" customFormat="1" ht="45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35</v>
      </c>
      <c r="M39" s="24"/>
      <c r="N39" s="24" t="s">
        <v>86</v>
      </c>
      <c r="O39" s="24"/>
      <c r="P39" s="25">
        <f>5356216</f>
        <v>5356216</v>
      </c>
      <c r="Q39" s="25"/>
      <c r="R39" s="25"/>
      <c r="S39" s="26" t="s">
        <v>39</v>
      </c>
      <c r="T39" s="26"/>
      <c r="U39" s="26"/>
      <c r="V39" s="26"/>
      <c r="W39" s="28">
        <f>5356216</f>
        <v>5356216</v>
      </c>
      <c r="X39" s="28"/>
    </row>
    <row r="40" spans="1:24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35</v>
      </c>
      <c r="M40" s="24"/>
      <c r="N40" s="24" t="s">
        <v>88</v>
      </c>
      <c r="O40" s="24"/>
      <c r="P40" s="25">
        <f>61301</f>
        <v>61301</v>
      </c>
      <c r="Q40" s="25"/>
      <c r="R40" s="25"/>
      <c r="S40" s="26" t="s">
        <v>39</v>
      </c>
      <c r="T40" s="26"/>
      <c r="U40" s="26"/>
      <c r="V40" s="26"/>
      <c r="W40" s="28">
        <f>61301</f>
        <v>61301</v>
      </c>
      <c r="X40" s="28"/>
    </row>
    <row r="41" spans="1:24" s="1" customFormat="1" ht="33.7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35</v>
      </c>
      <c r="M41" s="24"/>
      <c r="N41" s="24" t="s">
        <v>90</v>
      </c>
      <c r="O41" s="24"/>
      <c r="P41" s="25">
        <f>293942</f>
        <v>293942</v>
      </c>
      <c r="Q41" s="25"/>
      <c r="R41" s="25"/>
      <c r="S41" s="25">
        <f>60800.82</f>
        <v>60800.82</v>
      </c>
      <c r="T41" s="25"/>
      <c r="U41" s="25"/>
      <c r="V41" s="25"/>
      <c r="W41" s="28">
        <f>233141.18</f>
        <v>233141.18</v>
      </c>
      <c r="X41" s="28"/>
    </row>
    <row r="42" spans="1:24" s="1" customFormat="1" ht="45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35</v>
      </c>
      <c r="M42" s="24"/>
      <c r="N42" s="24" t="s">
        <v>92</v>
      </c>
      <c r="O42" s="24"/>
      <c r="P42" s="25">
        <f>11420561.23</f>
        <v>11420561.23</v>
      </c>
      <c r="Q42" s="25"/>
      <c r="R42" s="25"/>
      <c r="S42" s="25">
        <f>1691624.96</f>
        <v>1691624.96</v>
      </c>
      <c r="T42" s="25"/>
      <c r="U42" s="25"/>
      <c r="V42" s="25"/>
      <c r="W42" s="28">
        <f>9728936.27</f>
        <v>9728936.27</v>
      </c>
      <c r="X42" s="28"/>
    </row>
    <row r="43" spans="1:24" s="1" customFormat="1" ht="13.5" customHeight="1">
      <c r="A43" s="29" t="s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1" customFormat="1" ht="13.5" customHeight="1">
      <c r="A44" s="12" t="s">
        <v>93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" customFormat="1" ht="34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 t="s">
        <v>23</v>
      </c>
      <c r="M45" s="13"/>
      <c r="N45" s="13" t="s">
        <v>94</v>
      </c>
      <c r="O45" s="13"/>
      <c r="P45" s="14" t="s">
        <v>25</v>
      </c>
      <c r="Q45" s="14"/>
      <c r="R45" s="14"/>
      <c r="S45" s="14" t="s">
        <v>26</v>
      </c>
      <c r="T45" s="14"/>
      <c r="U45" s="14"/>
      <c r="V45" s="14"/>
      <c r="W45" s="15" t="s">
        <v>27</v>
      </c>
      <c r="X45" s="15"/>
    </row>
    <row r="46" spans="1:24" s="1" customFormat="1" ht="13.5" customHeight="1">
      <c r="A46" s="16" t="s">
        <v>28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 t="s">
        <v>29</v>
      </c>
      <c r="M46" s="16"/>
      <c r="N46" s="16" t="s">
        <v>30</v>
      </c>
      <c r="O46" s="16"/>
      <c r="P46" s="17" t="s">
        <v>31</v>
      </c>
      <c r="Q46" s="17"/>
      <c r="R46" s="17"/>
      <c r="S46" s="17" t="s">
        <v>32</v>
      </c>
      <c r="T46" s="17"/>
      <c r="U46" s="17"/>
      <c r="V46" s="17"/>
      <c r="W46" s="18" t="s">
        <v>33</v>
      </c>
      <c r="X46" s="18"/>
    </row>
    <row r="47" spans="1:24" s="1" customFormat="1" ht="13.5" customHeight="1">
      <c r="A47" s="19" t="s">
        <v>95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 t="s">
        <v>96</v>
      </c>
      <c r="M47" s="20"/>
      <c r="N47" s="20" t="s">
        <v>36</v>
      </c>
      <c r="O47" s="20"/>
      <c r="P47" s="21">
        <f>36462306.02</f>
        <v>36462306.02</v>
      </c>
      <c r="Q47" s="21"/>
      <c r="R47" s="21"/>
      <c r="S47" s="21">
        <f>6032397.42</f>
        <v>6032397.42</v>
      </c>
      <c r="T47" s="21"/>
      <c r="U47" s="21"/>
      <c r="V47" s="21"/>
      <c r="W47" s="22">
        <f>30429908.6</f>
        <v>30429908.6</v>
      </c>
      <c r="X47" s="22"/>
    </row>
    <row r="48" spans="1:24" s="1" customFormat="1" ht="13.5" customHeight="1">
      <c r="A48" s="30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96</v>
      </c>
      <c r="M48" s="31"/>
      <c r="N48" s="31" t="s">
        <v>98</v>
      </c>
      <c r="O48" s="31"/>
      <c r="P48" s="32">
        <f>704000</f>
        <v>704000</v>
      </c>
      <c r="Q48" s="32"/>
      <c r="R48" s="32"/>
      <c r="S48" s="32">
        <f>232323.88</f>
        <v>232323.88</v>
      </c>
      <c r="T48" s="32"/>
      <c r="U48" s="32"/>
      <c r="V48" s="32"/>
      <c r="W48" s="33">
        <f>471676.12</f>
        <v>471676.12</v>
      </c>
      <c r="X48" s="33"/>
    </row>
    <row r="49" spans="1:24" s="1" customFormat="1" ht="33.75" customHeight="1">
      <c r="A49" s="30" t="s">
        <v>99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96</v>
      </c>
      <c r="M49" s="31"/>
      <c r="N49" s="31" t="s">
        <v>100</v>
      </c>
      <c r="O49" s="31"/>
      <c r="P49" s="32">
        <f>196300</f>
        <v>196300</v>
      </c>
      <c r="Q49" s="32"/>
      <c r="R49" s="32"/>
      <c r="S49" s="32">
        <f>58113.81</f>
        <v>58113.81</v>
      </c>
      <c r="T49" s="32"/>
      <c r="U49" s="32"/>
      <c r="V49" s="32"/>
      <c r="W49" s="33">
        <f>138186.19</f>
        <v>138186.19</v>
      </c>
      <c r="X49" s="33"/>
    </row>
    <row r="50" spans="1:24" s="1" customFormat="1" ht="13.5" customHeight="1">
      <c r="A50" s="30" t="s">
        <v>97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96</v>
      </c>
      <c r="M50" s="31"/>
      <c r="N50" s="31" t="s">
        <v>101</v>
      </c>
      <c r="O50" s="31"/>
      <c r="P50" s="32">
        <f>3548000</f>
        <v>3548000</v>
      </c>
      <c r="Q50" s="32"/>
      <c r="R50" s="32"/>
      <c r="S50" s="32">
        <f>1030914.83</f>
        <v>1030914.83</v>
      </c>
      <c r="T50" s="32"/>
      <c r="U50" s="32"/>
      <c r="V50" s="32"/>
      <c r="W50" s="33">
        <f>2517085.17</f>
        <v>2517085.17</v>
      </c>
      <c r="X50" s="33"/>
    </row>
    <row r="51" spans="1:24" s="1" customFormat="1" ht="24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103</v>
      </c>
      <c r="O51" s="31"/>
      <c r="P51" s="32">
        <f>1000</f>
        <v>1000</v>
      </c>
      <c r="Q51" s="32"/>
      <c r="R51" s="32"/>
      <c r="S51" s="34" t="s">
        <v>39</v>
      </c>
      <c r="T51" s="34"/>
      <c r="U51" s="34"/>
      <c r="V51" s="34"/>
      <c r="W51" s="33">
        <f>1000</f>
        <v>1000</v>
      </c>
      <c r="X51" s="33"/>
    </row>
    <row r="52" spans="1:24" s="1" customFormat="1" ht="33.75" customHeight="1">
      <c r="A52" s="30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104</v>
      </c>
      <c r="O52" s="31"/>
      <c r="P52" s="32">
        <f>1045752</f>
        <v>1045752</v>
      </c>
      <c r="Q52" s="32"/>
      <c r="R52" s="32"/>
      <c r="S52" s="32">
        <f>239649.27</f>
        <v>239649.27</v>
      </c>
      <c r="T52" s="32"/>
      <c r="U52" s="32"/>
      <c r="V52" s="32"/>
      <c r="W52" s="33">
        <f>806102.73</f>
        <v>806102.73</v>
      </c>
      <c r="X52" s="33"/>
    </row>
    <row r="53" spans="1:24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106</v>
      </c>
      <c r="O53" s="31"/>
      <c r="P53" s="32">
        <f>352500</f>
        <v>352500</v>
      </c>
      <c r="Q53" s="32"/>
      <c r="R53" s="32"/>
      <c r="S53" s="32">
        <f>138737.43</f>
        <v>138737.43</v>
      </c>
      <c r="T53" s="32"/>
      <c r="U53" s="32"/>
      <c r="V53" s="32"/>
      <c r="W53" s="33">
        <f>213762.57</f>
        <v>213762.57</v>
      </c>
      <c r="X53" s="33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108</v>
      </c>
      <c r="O54" s="31"/>
      <c r="P54" s="32">
        <f>180000</f>
        <v>180000</v>
      </c>
      <c r="Q54" s="32"/>
      <c r="R54" s="32"/>
      <c r="S54" s="32">
        <f>89223.33</f>
        <v>89223.33</v>
      </c>
      <c r="T54" s="32"/>
      <c r="U54" s="32"/>
      <c r="V54" s="32"/>
      <c r="W54" s="33">
        <f>90776.67</f>
        <v>90776.67</v>
      </c>
      <c r="X54" s="33"/>
    </row>
    <row r="55" spans="1:24" s="1" customFormat="1" ht="13.5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110</v>
      </c>
      <c r="O55" s="31"/>
      <c r="P55" s="32">
        <f>6000</f>
        <v>6000</v>
      </c>
      <c r="Q55" s="32"/>
      <c r="R55" s="32"/>
      <c r="S55" s="32">
        <f>1996</f>
        <v>1996</v>
      </c>
      <c r="T55" s="32"/>
      <c r="U55" s="32"/>
      <c r="V55" s="32"/>
      <c r="W55" s="33">
        <f>4004</f>
        <v>4004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112</v>
      </c>
      <c r="O56" s="31"/>
      <c r="P56" s="32">
        <f>8000</f>
        <v>8000</v>
      </c>
      <c r="Q56" s="32"/>
      <c r="R56" s="32"/>
      <c r="S56" s="32">
        <f>2656</f>
        <v>2656</v>
      </c>
      <c r="T56" s="32"/>
      <c r="U56" s="32"/>
      <c r="V56" s="32"/>
      <c r="W56" s="33">
        <f>5344</f>
        <v>5344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114</v>
      </c>
      <c r="O57" s="31"/>
      <c r="P57" s="32">
        <f>1000</f>
        <v>1000</v>
      </c>
      <c r="Q57" s="32"/>
      <c r="R57" s="32"/>
      <c r="S57" s="32">
        <f>631.07</f>
        <v>631.07</v>
      </c>
      <c r="T57" s="32"/>
      <c r="U57" s="32"/>
      <c r="V57" s="32"/>
      <c r="W57" s="33">
        <f>368.93</f>
        <v>368.93</v>
      </c>
      <c r="X57" s="33"/>
    </row>
    <row r="58" spans="1:24" s="1" customFormat="1" ht="13.5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116</v>
      </c>
      <c r="O58" s="31"/>
      <c r="P58" s="32">
        <f>50000</f>
        <v>50000</v>
      </c>
      <c r="Q58" s="32"/>
      <c r="R58" s="32"/>
      <c r="S58" s="34" t="s">
        <v>39</v>
      </c>
      <c r="T58" s="34"/>
      <c r="U58" s="34"/>
      <c r="V58" s="34"/>
      <c r="W58" s="33">
        <f>50000</f>
        <v>50000</v>
      </c>
      <c r="X58" s="33"/>
    </row>
    <row r="59" spans="1:24" s="1" customFormat="1" ht="13.5" customHeight="1">
      <c r="A59" s="30" t="s">
        <v>105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117</v>
      </c>
      <c r="O59" s="31"/>
      <c r="P59" s="32">
        <f>400000</f>
        <v>400000</v>
      </c>
      <c r="Q59" s="32"/>
      <c r="R59" s="32"/>
      <c r="S59" s="32">
        <f>98745.24</f>
        <v>98745.24</v>
      </c>
      <c r="T59" s="32"/>
      <c r="U59" s="32"/>
      <c r="V59" s="32"/>
      <c r="W59" s="33">
        <f>301254.76</f>
        <v>301254.76</v>
      </c>
      <c r="X59" s="33"/>
    </row>
    <row r="60" spans="1:24" s="1" customFormat="1" ht="13.5" customHeight="1">
      <c r="A60" s="30" t="s">
        <v>105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118</v>
      </c>
      <c r="O60" s="31"/>
      <c r="P60" s="32">
        <f>277500</f>
        <v>277500</v>
      </c>
      <c r="Q60" s="32"/>
      <c r="R60" s="32"/>
      <c r="S60" s="32">
        <f>118420</f>
        <v>118420</v>
      </c>
      <c r="T60" s="32"/>
      <c r="U60" s="32"/>
      <c r="V60" s="32"/>
      <c r="W60" s="33">
        <f>159080</f>
        <v>159080</v>
      </c>
      <c r="X60" s="33"/>
    </row>
    <row r="61" spans="1:24" s="1" customFormat="1" ht="13.5" customHeight="1">
      <c r="A61" s="30" t="s">
        <v>105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119</v>
      </c>
      <c r="O61" s="31"/>
      <c r="P61" s="32">
        <f>150000</f>
        <v>150000</v>
      </c>
      <c r="Q61" s="32"/>
      <c r="R61" s="32"/>
      <c r="S61" s="32">
        <f>17000</f>
        <v>17000</v>
      </c>
      <c r="T61" s="32"/>
      <c r="U61" s="32"/>
      <c r="V61" s="32"/>
      <c r="W61" s="33">
        <f>133000</f>
        <v>133000</v>
      </c>
      <c r="X61" s="33"/>
    </row>
    <row r="62" spans="1:24" s="1" customFormat="1" ht="13.5" customHeight="1">
      <c r="A62" s="30" t="s">
        <v>120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121</v>
      </c>
      <c r="O62" s="31"/>
      <c r="P62" s="32">
        <f>114502</f>
        <v>114502</v>
      </c>
      <c r="Q62" s="32"/>
      <c r="R62" s="32"/>
      <c r="S62" s="32">
        <f>28625</f>
        <v>28625</v>
      </c>
      <c r="T62" s="32"/>
      <c r="U62" s="32"/>
      <c r="V62" s="32"/>
      <c r="W62" s="33">
        <f>85877</f>
        <v>85877</v>
      </c>
      <c r="X62" s="33"/>
    </row>
    <row r="63" spans="1:24" s="1" customFormat="1" ht="13.5" customHeight="1">
      <c r="A63" s="30" t="s">
        <v>105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122</v>
      </c>
      <c r="O63" s="31"/>
      <c r="P63" s="32">
        <f>373280.5</f>
        <v>373280.5</v>
      </c>
      <c r="Q63" s="32"/>
      <c r="R63" s="32"/>
      <c r="S63" s="32">
        <f>90628.07</f>
        <v>90628.07</v>
      </c>
      <c r="T63" s="32"/>
      <c r="U63" s="32"/>
      <c r="V63" s="32"/>
      <c r="W63" s="33">
        <f>282652.43</f>
        <v>282652.43</v>
      </c>
      <c r="X63" s="33"/>
    </row>
    <row r="64" spans="1:24" s="1" customFormat="1" ht="13.5" customHeight="1">
      <c r="A64" s="30" t="s">
        <v>107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123</v>
      </c>
      <c r="O64" s="31"/>
      <c r="P64" s="32">
        <f>60000</f>
        <v>60000</v>
      </c>
      <c r="Q64" s="32"/>
      <c r="R64" s="32"/>
      <c r="S64" s="32">
        <f>8637.39</f>
        <v>8637.39</v>
      </c>
      <c r="T64" s="32"/>
      <c r="U64" s="32"/>
      <c r="V64" s="32"/>
      <c r="W64" s="33">
        <f>51362.61</f>
        <v>51362.61</v>
      </c>
      <c r="X64" s="33"/>
    </row>
    <row r="65" spans="1:24" s="1" customFormat="1" ht="24" customHeight="1">
      <c r="A65" s="30" t="s">
        <v>124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125</v>
      </c>
      <c r="O65" s="31"/>
      <c r="P65" s="32">
        <f>15700</f>
        <v>15700</v>
      </c>
      <c r="Q65" s="32"/>
      <c r="R65" s="32"/>
      <c r="S65" s="32">
        <f>15700</f>
        <v>15700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126</v>
      </c>
      <c r="O66" s="31"/>
      <c r="P66" s="32">
        <f>22033.33</f>
        <v>22033.33</v>
      </c>
      <c r="Q66" s="32"/>
      <c r="R66" s="32"/>
      <c r="S66" s="32">
        <f>22033.33</f>
        <v>22033.33</v>
      </c>
      <c r="T66" s="32"/>
      <c r="U66" s="32"/>
      <c r="V66" s="32"/>
      <c r="W66" s="33">
        <f>0</f>
        <v>0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127</v>
      </c>
      <c r="O67" s="31"/>
      <c r="P67" s="32">
        <f>12266.67</f>
        <v>12266.67</v>
      </c>
      <c r="Q67" s="32"/>
      <c r="R67" s="32"/>
      <c r="S67" s="34" t="s">
        <v>39</v>
      </c>
      <c r="T67" s="34"/>
      <c r="U67" s="34"/>
      <c r="V67" s="34"/>
      <c r="W67" s="33">
        <f>12266.67</f>
        <v>12266.67</v>
      </c>
      <c r="X67" s="33"/>
    </row>
    <row r="68" spans="1:24" s="1" customFormat="1" ht="13.5" customHeight="1">
      <c r="A68" s="30" t="s">
        <v>97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128</v>
      </c>
      <c r="O68" s="31"/>
      <c r="P68" s="32">
        <f>225756</f>
        <v>225756</v>
      </c>
      <c r="Q68" s="32"/>
      <c r="R68" s="32"/>
      <c r="S68" s="32">
        <f>46698</f>
        <v>46698</v>
      </c>
      <c r="T68" s="32"/>
      <c r="U68" s="32"/>
      <c r="V68" s="32"/>
      <c r="W68" s="33">
        <f>179058</f>
        <v>179058</v>
      </c>
      <c r="X68" s="33"/>
    </row>
    <row r="69" spans="1:24" s="1" customFormat="1" ht="33.75" customHeight="1">
      <c r="A69" s="30" t="s">
        <v>99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129</v>
      </c>
      <c r="O69" s="31"/>
      <c r="P69" s="32">
        <f>68186</f>
        <v>68186</v>
      </c>
      <c r="Q69" s="32"/>
      <c r="R69" s="32"/>
      <c r="S69" s="32">
        <f>14102.82</f>
        <v>14102.82</v>
      </c>
      <c r="T69" s="32"/>
      <c r="U69" s="32"/>
      <c r="V69" s="32"/>
      <c r="W69" s="33">
        <f>54083.18</f>
        <v>54083.18</v>
      </c>
      <c r="X69" s="33"/>
    </row>
    <row r="70" spans="1:24" s="1" customFormat="1" ht="13.5" customHeight="1">
      <c r="A70" s="30" t="s">
        <v>105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130</v>
      </c>
      <c r="O70" s="31"/>
      <c r="P70" s="32">
        <f>0</f>
        <v>0</v>
      </c>
      <c r="Q70" s="32"/>
      <c r="R70" s="32"/>
      <c r="S70" s="34" t="s">
        <v>39</v>
      </c>
      <c r="T70" s="34"/>
      <c r="U70" s="34"/>
      <c r="V70" s="34"/>
      <c r="W70" s="35" t="s">
        <v>39</v>
      </c>
      <c r="X70" s="35"/>
    </row>
    <row r="71" spans="1:24" s="1" customFormat="1" ht="13.5" customHeight="1">
      <c r="A71" s="30" t="s">
        <v>105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131</v>
      </c>
      <c r="O71" s="31"/>
      <c r="P71" s="32">
        <f>7000</f>
        <v>7000</v>
      </c>
      <c r="Q71" s="32"/>
      <c r="R71" s="32"/>
      <c r="S71" s="34" t="s">
        <v>39</v>
      </c>
      <c r="T71" s="34"/>
      <c r="U71" s="34"/>
      <c r="V71" s="34"/>
      <c r="W71" s="33">
        <f>7000</f>
        <v>7000</v>
      </c>
      <c r="X71" s="33"/>
    </row>
    <row r="72" spans="1:24" s="1" customFormat="1" ht="13.5" customHeight="1">
      <c r="A72" s="30" t="s">
        <v>105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132</v>
      </c>
      <c r="O72" s="31"/>
      <c r="P72" s="32">
        <f>8000</f>
        <v>8000</v>
      </c>
      <c r="Q72" s="32"/>
      <c r="R72" s="32"/>
      <c r="S72" s="34" t="s">
        <v>39</v>
      </c>
      <c r="T72" s="34"/>
      <c r="U72" s="34"/>
      <c r="V72" s="34"/>
      <c r="W72" s="33">
        <f>8000</f>
        <v>8000</v>
      </c>
      <c r="X72" s="33"/>
    </row>
    <row r="73" spans="1:24" s="1" customFormat="1" ht="13.5" customHeight="1">
      <c r="A73" s="30" t="s">
        <v>105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133</v>
      </c>
      <c r="O73" s="31"/>
      <c r="P73" s="32">
        <f>5000</f>
        <v>5000</v>
      </c>
      <c r="Q73" s="32"/>
      <c r="R73" s="32"/>
      <c r="S73" s="34" t="s">
        <v>39</v>
      </c>
      <c r="T73" s="34"/>
      <c r="U73" s="34"/>
      <c r="V73" s="34"/>
      <c r="W73" s="33">
        <f>5000</f>
        <v>5000</v>
      </c>
      <c r="X73" s="33"/>
    </row>
    <row r="74" spans="1:24" s="1" customFormat="1" ht="13.5" customHeight="1">
      <c r="A74" s="30" t="s">
        <v>105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134</v>
      </c>
      <c r="O74" s="31"/>
      <c r="P74" s="32">
        <f>20000</f>
        <v>20000</v>
      </c>
      <c r="Q74" s="32"/>
      <c r="R74" s="32"/>
      <c r="S74" s="32">
        <f>2113.44</f>
        <v>2113.44</v>
      </c>
      <c r="T74" s="32"/>
      <c r="U74" s="32"/>
      <c r="V74" s="32"/>
      <c r="W74" s="33">
        <f>17886.56</f>
        <v>17886.56</v>
      </c>
      <c r="X74" s="33"/>
    </row>
    <row r="75" spans="1:24" s="1" customFormat="1" ht="13.5" customHeight="1">
      <c r="A75" s="30" t="s">
        <v>105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135</v>
      </c>
      <c r="O75" s="31"/>
      <c r="P75" s="32">
        <f>580000</f>
        <v>580000</v>
      </c>
      <c r="Q75" s="32"/>
      <c r="R75" s="32"/>
      <c r="S75" s="32">
        <f>530891.22</f>
        <v>530891.22</v>
      </c>
      <c r="T75" s="32"/>
      <c r="U75" s="32"/>
      <c r="V75" s="32"/>
      <c r="W75" s="33">
        <f>49108.78</f>
        <v>49108.78</v>
      </c>
      <c r="X75" s="33"/>
    </row>
    <row r="76" spans="1:24" s="1" customFormat="1" ht="13.5" customHeight="1">
      <c r="A76" s="30" t="s">
        <v>105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136</v>
      </c>
      <c r="O76" s="31"/>
      <c r="P76" s="32">
        <f>3524349.23</f>
        <v>3524349.23</v>
      </c>
      <c r="Q76" s="32"/>
      <c r="R76" s="32"/>
      <c r="S76" s="32">
        <f>1092373.66</f>
        <v>1092373.66</v>
      </c>
      <c r="T76" s="32"/>
      <c r="U76" s="32"/>
      <c r="V76" s="32"/>
      <c r="W76" s="33">
        <f>2431975.57</f>
        <v>2431975.57</v>
      </c>
      <c r="X76" s="33"/>
    </row>
    <row r="77" spans="1:24" s="1" customFormat="1" ht="13.5" customHeight="1">
      <c r="A77" s="30" t="s">
        <v>105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137</v>
      </c>
      <c r="O77" s="31"/>
      <c r="P77" s="32">
        <f>5363661.2</f>
        <v>5363661.2</v>
      </c>
      <c r="Q77" s="32"/>
      <c r="R77" s="32"/>
      <c r="S77" s="34" t="s">
        <v>39</v>
      </c>
      <c r="T77" s="34"/>
      <c r="U77" s="34"/>
      <c r="V77" s="34"/>
      <c r="W77" s="33">
        <f>5363661.2</f>
        <v>5363661.2</v>
      </c>
      <c r="X77" s="33"/>
    </row>
    <row r="78" spans="1:24" s="1" customFormat="1" ht="13.5" customHeight="1">
      <c r="A78" s="30" t="s">
        <v>105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138</v>
      </c>
      <c r="O78" s="31"/>
      <c r="P78" s="32">
        <f>2525858.17</f>
        <v>2525858.17</v>
      </c>
      <c r="Q78" s="32"/>
      <c r="R78" s="32"/>
      <c r="S78" s="32">
        <f>903964.2</f>
        <v>903964.2</v>
      </c>
      <c r="T78" s="32"/>
      <c r="U78" s="32"/>
      <c r="V78" s="32"/>
      <c r="W78" s="33">
        <f>1621893.97</f>
        <v>1621893.97</v>
      </c>
      <c r="X78" s="33"/>
    </row>
    <row r="79" spans="1:24" s="1" customFormat="1" ht="13.5" customHeight="1">
      <c r="A79" s="30" t="s">
        <v>105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139</v>
      </c>
      <c r="O79" s="31"/>
      <c r="P79" s="32">
        <f>86417.42</f>
        <v>86417.42</v>
      </c>
      <c r="Q79" s="32"/>
      <c r="R79" s="32"/>
      <c r="S79" s="34" t="s">
        <v>39</v>
      </c>
      <c r="T79" s="34"/>
      <c r="U79" s="34"/>
      <c r="V79" s="34"/>
      <c r="W79" s="33">
        <f>86417.42</f>
        <v>86417.42</v>
      </c>
      <c r="X79" s="33"/>
    </row>
    <row r="80" spans="1:24" s="1" customFormat="1" ht="13.5" customHeight="1">
      <c r="A80" s="30" t="s">
        <v>105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140</v>
      </c>
      <c r="O80" s="31"/>
      <c r="P80" s="32">
        <f>7685146</f>
        <v>7685146</v>
      </c>
      <c r="Q80" s="32"/>
      <c r="R80" s="32"/>
      <c r="S80" s="34" t="s">
        <v>39</v>
      </c>
      <c r="T80" s="34"/>
      <c r="U80" s="34"/>
      <c r="V80" s="34"/>
      <c r="W80" s="33">
        <f>7685146</f>
        <v>7685146</v>
      </c>
      <c r="X80" s="33"/>
    </row>
    <row r="81" spans="1:24" s="1" customFormat="1" ht="13.5" customHeight="1">
      <c r="A81" s="30" t="s">
        <v>105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96</v>
      </c>
      <c r="M81" s="31"/>
      <c r="N81" s="31" t="s">
        <v>141</v>
      </c>
      <c r="O81" s="31"/>
      <c r="P81" s="32">
        <f>1641931</f>
        <v>1641931</v>
      </c>
      <c r="Q81" s="32"/>
      <c r="R81" s="32"/>
      <c r="S81" s="34" t="s">
        <v>39</v>
      </c>
      <c r="T81" s="34"/>
      <c r="U81" s="34"/>
      <c r="V81" s="34"/>
      <c r="W81" s="33">
        <f>1641931</f>
        <v>1641931</v>
      </c>
      <c r="X81" s="33"/>
    </row>
    <row r="82" spans="1:24" s="1" customFormat="1" ht="13.5" customHeight="1">
      <c r="A82" s="30" t="s">
        <v>120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96</v>
      </c>
      <c r="M82" s="31"/>
      <c r="N82" s="31" t="s">
        <v>142</v>
      </c>
      <c r="O82" s="31"/>
      <c r="P82" s="32">
        <f>3227</f>
        <v>3227</v>
      </c>
      <c r="Q82" s="32"/>
      <c r="R82" s="32"/>
      <c r="S82" s="34" t="s">
        <v>39</v>
      </c>
      <c r="T82" s="34"/>
      <c r="U82" s="34"/>
      <c r="V82" s="34"/>
      <c r="W82" s="33">
        <f>3227</f>
        <v>3227</v>
      </c>
      <c r="X82" s="33"/>
    </row>
    <row r="83" spans="1:24" s="1" customFormat="1" ht="13.5" customHeight="1">
      <c r="A83" s="30" t="s">
        <v>120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96</v>
      </c>
      <c r="M83" s="31"/>
      <c r="N83" s="31" t="s">
        <v>143</v>
      </c>
      <c r="O83" s="31"/>
      <c r="P83" s="32">
        <f>61301</f>
        <v>61301</v>
      </c>
      <c r="Q83" s="32"/>
      <c r="R83" s="32"/>
      <c r="S83" s="34" t="s">
        <v>39</v>
      </c>
      <c r="T83" s="34"/>
      <c r="U83" s="34"/>
      <c r="V83" s="34"/>
      <c r="W83" s="33">
        <f>61301</f>
        <v>61301</v>
      </c>
      <c r="X83" s="33"/>
    </row>
    <row r="84" spans="1:24" s="1" customFormat="1" ht="13.5" customHeight="1">
      <c r="A84" s="30" t="s">
        <v>105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96</v>
      </c>
      <c r="M84" s="31"/>
      <c r="N84" s="31" t="s">
        <v>144</v>
      </c>
      <c r="O84" s="31"/>
      <c r="P84" s="32">
        <f>65000</f>
        <v>65000</v>
      </c>
      <c r="Q84" s="32"/>
      <c r="R84" s="32"/>
      <c r="S84" s="32">
        <f>18509.66</f>
        <v>18509.66</v>
      </c>
      <c r="T84" s="32"/>
      <c r="U84" s="32"/>
      <c r="V84" s="32"/>
      <c r="W84" s="33">
        <f>46490.34</f>
        <v>46490.34</v>
      </c>
      <c r="X84" s="33"/>
    </row>
    <row r="85" spans="1:24" s="1" customFormat="1" ht="13.5" customHeight="1">
      <c r="A85" s="30" t="s">
        <v>105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96</v>
      </c>
      <c r="M85" s="31"/>
      <c r="N85" s="31" t="s">
        <v>145</v>
      </c>
      <c r="O85" s="31"/>
      <c r="P85" s="32">
        <f>200000</f>
        <v>200000</v>
      </c>
      <c r="Q85" s="32"/>
      <c r="R85" s="32"/>
      <c r="S85" s="34" t="s">
        <v>39</v>
      </c>
      <c r="T85" s="34"/>
      <c r="U85" s="34"/>
      <c r="V85" s="34"/>
      <c r="W85" s="33">
        <f>200000</f>
        <v>200000</v>
      </c>
      <c r="X85" s="33"/>
    </row>
    <row r="86" spans="1:24" s="1" customFormat="1" ht="24" customHeight="1">
      <c r="A86" s="30" t="s">
        <v>146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96</v>
      </c>
      <c r="M86" s="31"/>
      <c r="N86" s="31" t="s">
        <v>147</v>
      </c>
      <c r="O86" s="31"/>
      <c r="P86" s="32">
        <f>480000</f>
        <v>480000</v>
      </c>
      <c r="Q86" s="32"/>
      <c r="R86" s="32"/>
      <c r="S86" s="34" t="s">
        <v>39</v>
      </c>
      <c r="T86" s="34"/>
      <c r="U86" s="34"/>
      <c r="V86" s="34"/>
      <c r="W86" s="33">
        <f>480000</f>
        <v>480000</v>
      </c>
      <c r="X86" s="33"/>
    </row>
    <row r="87" spans="1:24" s="1" customFormat="1" ht="13.5" customHeight="1">
      <c r="A87" s="30" t="s">
        <v>105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96</v>
      </c>
      <c r="M87" s="31"/>
      <c r="N87" s="31" t="s">
        <v>148</v>
      </c>
      <c r="O87" s="31"/>
      <c r="P87" s="32">
        <f>800000</f>
        <v>800000</v>
      </c>
      <c r="Q87" s="32"/>
      <c r="R87" s="32"/>
      <c r="S87" s="32">
        <f>347441.07</f>
        <v>347441.07</v>
      </c>
      <c r="T87" s="32"/>
      <c r="U87" s="32"/>
      <c r="V87" s="32"/>
      <c r="W87" s="33">
        <f>452558.93</f>
        <v>452558.93</v>
      </c>
      <c r="X87" s="33"/>
    </row>
    <row r="88" spans="1:24" s="1" customFormat="1" ht="13.5" customHeight="1">
      <c r="A88" s="30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96</v>
      </c>
      <c r="M88" s="31"/>
      <c r="N88" s="31" t="s">
        <v>149</v>
      </c>
      <c r="O88" s="31"/>
      <c r="P88" s="32">
        <f>1200000</f>
        <v>1200000</v>
      </c>
      <c r="Q88" s="32"/>
      <c r="R88" s="32"/>
      <c r="S88" s="32">
        <f>424379.47</f>
        <v>424379.47</v>
      </c>
      <c r="T88" s="32"/>
      <c r="U88" s="32"/>
      <c r="V88" s="32"/>
      <c r="W88" s="33">
        <f>775620.53</f>
        <v>775620.53</v>
      </c>
      <c r="X88" s="33"/>
    </row>
    <row r="89" spans="1:24" s="1" customFormat="1" ht="13.5" customHeight="1">
      <c r="A89" s="30" t="s">
        <v>105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96</v>
      </c>
      <c r="M89" s="31"/>
      <c r="N89" s="31" t="s">
        <v>150</v>
      </c>
      <c r="O89" s="31"/>
      <c r="P89" s="32">
        <f>150000</f>
        <v>150000</v>
      </c>
      <c r="Q89" s="32"/>
      <c r="R89" s="32"/>
      <c r="S89" s="32">
        <f>110.5</f>
        <v>110.5</v>
      </c>
      <c r="T89" s="32"/>
      <c r="U89" s="32"/>
      <c r="V89" s="32"/>
      <c r="W89" s="33">
        <f>149889.5</f>
        <v>149889.5</v>
      </c>
      <c r="X89" s="33"/>
    </row>
    <row r="90" spans="1:24" s="1" customFormat="1" ht="13.5" customHeight="1">
      <c r="A90" s="30" t="s">
        <v>105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96</v>
      </c>
      <c r="M90" s="31"/>
      <c r="N90" s="31" t="s">
        <v>151</v>
      </c>
      <c r="O90" s="31"/>
      <c r="P90" s="32">
        <f>90000</f>
        <v>90000</v>
      </c>
      <c r="Q90" s="32"/>
      <c r="R90" s="32"/>
      <c r="S90" s="34" t="s">
        <v>39</v>
      </c>
      <c r="T90" s="34"/>
      <c r="U90" s="34"/>
      <c r="V90" s="34"/>
      <c r="W90" s="33">
        <f>90000</f>
        <v>90000</v>
      </c>
      <c r="X90" s="33"/>
    </row>
    <row r="91" spans="1:24" s="1" customFormat="1" ht="13.5" customHeight="1">
      <c r="A91" s="30" t="s">
        <v>105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96</v>
      </c>
      <c r="M91" s="31"/>
      <c r="N91" s="31" t="s">
        <v>152</v>
      </c>
      <c r="O91" s="31"/>
      <c r="P91" s="32">
        <f>1873918.97</f>
        <v>1873918.97</v>
      </c>
      <c r="Q91" s="32"/>
      <c r="R91" s="32"/>
      <c r="S91" s="32">
        <f>296329.35</f>
        <v>296329.35</v>
      </c>
      <c r="T91" s="32"/>
      <c r="U91" s="32"/>
      <c r="V91" s="32"/>
      <c r="W91" s="33">
        <f>1577589.62</f>
        <v>1577589.62</v>
      </c>
      <c r="X91" s="33"/>
    </row>
    <row r="92" spans="1:24" s="1" customFormat="1" ht="13.5" customHeight="1">
      <c r="A92" s="30" t="s">
        <v>105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96</v>
      </c>
      <c r="M92" s="31"/>
      <c r="N92" s="31" t="s">
        <v>153</v>
      </c>
      <c r="O92" s="31"/>
      <c r="P92" s="32">
        <f>57737.15</f>
        <v>57737.15</v>
      </c>
      <c r="Q92" s="32"/>
      <c r="R92" s="32"/>
      <c r="S92" s="32">
        <f>30300</f>
        <v>30300</v>
      </c>
      <c r="T92" s="32"/>
      <c r="U92" s="32"/>
      <c r="V92" s="32"/>
      <c r="W92" s="33">
        <f>27437.15</f>
        <v>27437.15</v>
      </c>
      <c r="X92" s="33"/>
    </row>
    <row r="93" spans="1:24" s="1" customFormat="1" ht="13.5" customHeight="1">
      <c r="A93" s="30" t="s">
        <v>105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96</v>
      </c>
      <c r="M93" s="31"/>
      <c r="N93" s="31" t="s">
        <v>154</v>
      </c>
      <c r="O93" s="31"/>
      <c r="P93" s="32">
        <f>1500000</f>
        <v>1500000</v>
      </c>
      <c r="Q93" s="32"/>
      <c r="R93" s="32"/>
      <c r="S93" s="34" t="s">
        <v>39</v>
      </c>
      <c r="T93" s="34"/>
      <c r="U93" s="34"/>
      <c r="V93" s="34"/>
      <c r="W93" s="33">
        <f>1500000</f>
        <v>1500000</v>
      </c>
      <c r="X93" s="33"/>
    </row>
    <row r="94" spans="1:24" s="1" customFormat="1" ht="13.5" customHeight="1">
      <c r="A94" s="30" t="s">
        <v>105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96</v>
      </c>
      <c r="M94" s="31"/>
      <c r="N94" s="31" t="s">
        <v>155</v>
      </c>
      <c r="O94" s="31"/>
      <c r="P94" s="32">
        <f>40000</f>
        <v>40000</v>
      </c>
      <c r="Q94" s="32"/>
      <c r="R94" s="32"/>
      <c r="S94" s="34" t="s">
        <v>39</v>
      </c>
      <c r="T94" s="34"/>
      <c r="U94" s="34"/>
      <c r="V94" s="34"/>
      <c r="W94" s="33">
        <f>40000</f>
        <v>40000</v>
      </c>
      <c r="X94" s="33"/>
    </row>
    <row r="95" spans="1:24" s="1" customFormat="1" ht="13.5" customHeight="1">
      <c r="A95" s="30" t="s">
        <v>105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96</v>
      </c>
      <c r="M95" s="31"/>
      <c r="N95" s="31" t="s">
        <v>156</v>
      </c>
      <c r="O95" s="31"/>
      <c r="P95" s="32">
        <f>350000</f>
        <v>350000</v>
      </c>
      <c r="Q95" s="32"/>
      <c r="R95" s="32"/>
      <c r="S95" s="32">
        <f>40449.54</f>
        <v>40449.54</v>
      </c>
      <c r="T95" s="32"/>
      <c r="U95" s="32"/>
      <c r="V95" s="32"/>
      <c r="W95" s="33">
        <f>309550.46</f>
        <v>309550.46</v>
      </c>
      <c r="X95" s="33"/>
    </row>
    <row r="96" spans="1:24" s="1" customFormat="1" ht="13.5" customHeight="1">
      <c r="A96" s="30" t="s">
        <v>120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96</v>
      </c>
      <c r="M96" s="31"/>
      <c r="N96" s="31" t="s">
        <v>157</v>
      </c>
      <c r="O96" s="31"/>
      <c r="P96" s="32">
        <f>121000</f>
        <v>121000</v>
      </c>
      <c r="Q96" s="32"/>
      <c r="R96" s="32"/>
      <c r="S96" s="32">
        <f>30250</f>
        <v>30250</v>
      </c>
      <c r="T96" s="32"/>
      <c r="U96" s="32"/>
      <c r="V96" s="32"/>
      <c r="W96" s="33">
        <f>90750</f>
        <v>90750</v>
      </c>
      <c r="X96" s="33"/>
    </row>
    <row r="97" spans="1:24" s="1" customFormat="1" ht="13.5" customHeight="1">
      <c r="A97" s="30" t="s">
        <v>158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96</v>
      </c>
      <c r="M97" s="31"/>
      <c r="N97" s="31" t="s">
        <v>159</v>
      </c>
      <c r="O97" s="31"/>
      <c r="P97" s="32">
        <f>173342.88</f>
        <v>173342.88</v>
      </c>
      <c r="Q97" s="32"/>
      <c r="R97" s="32"/>
      <c r="S97" s="32">
        <f>60449.84</f>
        <v>60449.84</v>
      </c>
      <c r="T97" s="32"/>
      <c r="U97" s="32"/>
      <c r="V97" s="32"/>
      <c r="W97" s="33">
        <f>112893.04</f>
        <v>112893.04</v>
      </c>
      <c r="X97" s="33"/>
    </row>
    <row r="98" spans="1:24" s="1" customFormat="1" ht="24" customHeight="1">
      <c r="A98" s="30" t="s">
        <v>160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96</v>
      </c>
      <c r="M98" s="31"/>
      <c r="N98" s="31" t="s">
        <v>161</v>
      </c>
      <c r="O98" s="31"/>
      <c r="P98" s="32">
        <f>7639.5</f>
        <v>7639.5</v>
      </c>
      <c r="Q98" s="32"/>
      <c r="R98" s="32"/>
      <c r="S98" s="34" t="s">
        <v>39</v>
      </c>
      <c r="T98" s="34"/>
      <c r="U98" s="34"/>
      <c r="V98" s="34"/>
      <c r="W98" s="33">
        <f>7639.5</f>
        <v>7639.5</v>
      </c>
      <c r="X98" s="33"/>
    </row>
    <row r="99" spans="1:24" s="1" customFormat="1" ht="13.5" customHeight="1">
      <c r="A99" s="30" t="s">
        <v>105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96</v>
      </c>
      <c r="M99" s="31"/>
      <c r="N99" s="31" t="s">
        <v>162</v>
      </c>
      <c r="O99" s="31"/>
      <c r="P99" s="32">
        <f>30000</f>
        <v>30000</v>
      </c>
      <c r="Q99" s="32"/>
      <c r="R99" s="32"/>
      <c r="S99" s="34" t="s">
        <v>39</v>
      </c>
      <c r="T99" s="34"/>
      <c r="U99" s="34"/>
      <c r="V99" s="34"/>
      <c r="W99" s="33">
        <f>30000</f>
        <v>30000</v>
      </c>
      <c r="X99" s="33"/>
    </row>
    <row r="100" spans="1:24" s="1" customFormat="1" ht="15" customHeight="1">
      <c r="A100" s="36" t="s">
        <v>163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7" t="s">
        <v>164</v>
      </c>
      <c r="M100" s="37"/>
      <c r="N100" s="37" t="s">
        <v>36</v>
      </c>
      <c r="O100" s="37"/>
      <c r="P100" s="38">
        <f>-2255585.79</f>
        <v>-2255585.79</v>
      </c>
      <c r="Q100" s="38"/>
      <c r="R100" s="38"/>
      <c r="S100" s="38">
        <f>-633833.12</f>
        <v>-633833.12</v>
      </c>
      <c r="T100" s="38"/>
      <c r="U100" s="38"/>
      <c r="V100" s="38"/>
      <c r="W100" s="39" t="s">
        <v>36</v>
      </c>
      <c r="X100" s="39"/>
    </row>
    <row r="101" spans="1:24" s="1" customFormat="1" ht="13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1" customFormat="1" ht="13.5" customHeight="1">
      <c r="A102" s="12" t="s">
        <v>165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45.75" customHeight="1">
      <c r="A103" s="13" t="s">
        <v>22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 t="s">
        <v>23</v>
      </c>
      <c r="M103" s="13"/>
      <c r="N103" s="13" t="s">
        <v>166</v>
      </c>
      <c r="O103" s="13"/>
      <c r="P103" s="14" t="s">
        <v>25</v>
      </c>
      <c r="Q103" s="14"/>
      <c r="R103" s="14"/>
      <c r="S103" s="14" t="s">
        <v>26</v>
      </c>
      <c r="T103" s="14"/>
      <c r="U103" s="14"/>
      <c r="V103" s="14"/>
      <c r="W103" s="15" t="s">
        <v>27</v>
      </c>
      <c r="X103" s="15"/>
    </row>
    <row r="104" spans="1:24" s="1" customFormat="1" ht="12.75" customHeight="1">
      <c r="A104" s="16" t="s">
        <v>28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29</v>
      </c>
      <c r="M104" s="16"/>
      <c r="N104" s="16" t="s">
        <v>30</v>
      </c>
      <c r="O104" s="16"/>
      <c r="P104" s="17" t="s">
        <v>31</v>
      </c>
      <c r="Q104" s="17"/>
      <c r="R104" s="17"/>
      <c r="S104" s="17" t="s">
        <v>32</v>
      </c>
      <c r="T104" s="17"/>
      <c r="U104" s="17"/>
      <c r="V104" s="17"/>
      <c r="W104" s="18" t="s">
        <v>33</v>
      </c>
      <c r="X104" s="18"/>
    </row>
    <row r="105" spans="1:24" s="1" customFormat="1" ht="13.5" customHeight="1">
      <c r="A105" s="19" t="s">
        <v>167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 t="s">
        <v>168</v>
      </c>
      <c r="M105" s="20"/>
      <c r="N105" s="20" t="s">
        <v>36</v>
      </c>
      <c r="O105" s="20"/>
      <c r="P105" s="40">
        <f>2255585.79</f>
        <v>2255585.79</v>
      </c>
      <c r="Q105" s="40"/>
      <c r="R105" s="40"/>
      <c r="S105" s="21">
        <f>633833.12</f>
        <v>633833.12</v>
      </c>
      <c r="T105" s="21"/>
      <c r="U105" s="21"/>
      <c r="V105" s="21"/>
      <c r="W105" s="41" t="s">
        <v>36</v>
      </c>
      <c r="X105" s="41"/>
    </row>
    <row r="106" spans="1:24" s="1" customFormat="1" ht="13.5" customHeight="1">
      <c r="A106" s="42" t="s">
        <v>169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3" t="s">
        <v>10</v>
      </c>
      <c r="M106" s="43"/>
      <c r="N106" s="43" t="s">
        <v>10</v>
      </c>
      <c r="O106" s="43"/>
      <c r="P106" s="44" t="s">
        <v>10</v>
      </c>
      <c r="Q106" s="44"/>
      <c r="R106" s="44"/>
      <c r="S106" s="45" t="s">
        <v>10</v>
      </c>
      <c r="T106" s="45"/>
      <c r="U106" s="45"/>
      <c r="V106" s="45"/>
      <c r="W106" s="46" t="s">
        <v>10</v>
      </c>
      <c r="X106" s="46"/>
    </row>
    <row r="107" spans="1:24" s="1" customFormat="1" ht="13.5" customHeight="1">
      <c r="A107" s="23" t="s">
        <v>170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7" t="s">
        <v>171</v>
      </c>
      <c r="M107" s="47"/>
      <c r="N107" s="24" t="s">
        <v>36</v>
      </c>
      <c r="O107" s="24"/>
      <c r="P107" s="48" t="s">
        <v>39</v>
      </c>
      <c r="Q107" s="48"/>
      <c r="R107" s="48"/>
      <c r="S107" s="26" t="s">
        <v>39</v>
      </c>
      <c r="T107" s="26"/>
      <c r="U107" s="26"/>
      <c r="V107" s="26"/>
      <c r="W107" s="49" t="s">
        <v>39</v>
      </c>
      <c r="X107" s="49"/>
    </row>
    <row r="108" spans="1:24" s="1" customFormat="1" ht="13.5" customHeight="1">
      <c r="A108" s="30" t="s">
        <v>10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171</v>
      </c>
      <c r="M108" s="31"/>
      <c r="N108" s="31" t="s">
        <v>10</v>
      </c>
      <c r="O108" s="31"/>
      <c r="P108" s="50" t="s">
        <v>39</v>
      </c>
      <c r="Q108" s="50"/>
      <c r="R108" s="50"/>
      <c r="S108" s="34" t="s">
        <v>39</v>
      </c>
      <c r="T108" s="34"/>
      <c r="U108" s="34"/>
      <c r="V108" s="34"/>
      <c r="W108" s="51" t="s">
        <v>39</v>
      </c>
      <c r="X108" s="51"/>
    </row>
    <row r="109" spans="1:24" s="1" customFormat="1" ht="13.5" customHeight="1">
      <c r="A109" s="30" t="s">
        <v>172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43" t="s">
        <v>173</v>
      </c>
      <c r="M109" s="43"/>
      <c r="N109" s="43" t="s">
        <v>36</v>
      </c>
      <c r="O109" s="43"/>
      <c r="P109" s="44" t="s">
        <v>39</v>
      </c>
      <c r="Q109" s="44"/>
      <c r="R109" s="44"/>
      <c r="S109" s="34" t="s">
        <v>39</v>
      </c>
      <c r="T109" s="34"/>
      <c r="U109" s="34"/>
      <c r="V109" s="34"/>
      <c r="W109" s="46" t="s">
        <v>39</v>
      </c>
      <c r="X109" s="46"/>
    </row>
    <row r="110" spans="1:24" s="1" customFormat="1" ht="13.5" customHeight="1">
      <c r="A110" s="30" t="s">
        <v>10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173</v>
      </c>
      <c r="M110" s="31"/>
      <c r="N110" s="31" t="s">
        <v>10</v>
      </c>
      <c r="O110" s="31"/>
      <c r="P110" s="50" t="s">
        <v>39</v>
      </c>
      <c r="Q110" s="50"/>
      <c r="R110" s="50"/>
      <c r="S110" s="34" t="s">
        <v>39</v>
      </c>
      <c r="T110" s="34"/>
      <c r="U110" s="34"/>
      <c r="V110" s="34"/>
      <c r="W110" s="51" t="s">
        <v>39</v>
      </c>
      <c r="X110" s="51"/>
    </row>
    <row r="111" spans="1:24" s="1" customFormat="1" ht="13.5" customHeight="1">
      <c r="A111" s="30" t="s">
        <v>174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175</v>
      </c>
      <c r="M111" s="31"/>
      <c r="N111" s="31" t="s">
        <v>176</v>
      </c>
      <c r="O111" s="31"/>
      <c r="P111" s="52">
        <f>2255585.79</f>
        <v>2255585.79</v>
      </c>
      <c r="Q111" s="52"/>
      <c r="R111" s="52"/>
      <c r="S111" s="32">
        <f>633833.12</f>
        <v>633833.12</v>
      </c>
      <c r="T111" s="32"/>
      <c r="U111" s="32"/>
      <c r="V111" s="32"/>
      <c r="W111" s="53">
        <f>1621752.67</f>
        <v>1621752.67</v>
      </c>
      <c r="X111" s="53"/>
    </row>
    <row r="112" spans="1:24" s="1" customFormat="1" ht="13.5" customHeight="1">
      <c r="A112" s="30" t="s">
        <v>177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178</v>
      </c>
      <c r="M112" s="31"/>
      <c r="N112" s="31" t="s">
        <v>179</v>
      </c>
      <c r="O112" s="31"/>
      <c r="P112" s="52">
        <f>-34206720.23</f>
        <v>-34206720.23</v>
      </c>
      <c r="Q112" s="52"/>
      <c r="R112" s="52"/>
      <c r="S112" s="32">
        <f>-8805663.02</f>
        <v>-8805663.02</v>
      </c>
      <c r="T112" s="32"/>
      <c r="U112" s="32"/>
      <c r="V112" s="32"/>
      <c r="W112" s="54" t="s">
        <v>36</v>
      </c>
      <c r="X112" s="54"/>
    </row>
    <row r="113" spans="1:24" s="1" customFormat="1" ht="13.5" customHeight="1">
      <c r="A113" s="30" t="s">
        <v>180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181</v>
      </c>
      <c r="M113" s="31"/>
      <c r="N113" s="31" t="s">
        <v>182</v>
      </c>
      <c r="O113" s="31"/>
      <c r="P113" s="52">
        <f>36462306.02</f>
        <v>36462306.02</v>
      </c>
      <c r="Q113" s="52"/>
      <c r="R113" s="52"/>
      <c r="S113" s="32">
        <f>9439496.14</f>
        <v>9439496.14</v>
      </c>
      <c r="T113" s="32"/>
      <c r="U113" s="32"/>
      <c r="V113" s="32"/>
      <c r="W113" s="54" t="s">
        <v>36</v>
      </c>
      <c r="X113" s="54"/>
    </row>
    <row r="114" spans="1:24" s="1" customFormat="1" ht="13.5" customHeight="1">
      <c r="A114" s="55" t="s">
        <v>10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1:24" s="1" customFormat="1" ht="13.5" customHeight="1">
      <c r="A115" s="10" t="s">
        <v>10</v>
      </c>
      <c r="B115" s="10"/>
      <c r="C115" s="10"/>
      <c r="D115" s="10"/>
      <c r="E115" s="10"/>
      <c r="F115" s="10"/>
      <c r="G115" s="10"/>
      <c r="H115" s="10"/>
      <c r="I115" s="56" t="s">
        <v>10</v>
      </c>
      <c r="J115" s="56"/>
      <c r="K115" s="56"/>
      <c r="L115" s="56"/>
      <c r="M115" s="56"/>
      <c r="N115" s="56" t="s">
        <v>183</v>
      </c>
      <c r="O115" s="56"/>
      <c r="P115" s="56"/>
      <c r="Q115" s="56"/>
      <c r="R115" s="10" t="s">
        <v>10</v>
      </c>
      <c r="S115" s="10"/>
      <c r="T115" s="10"/>
      <c r="U115" s="10"/>
      <c r="V115" s="10"/>
      <c r="W115" s="10"/>
      <c r="X115" s="10"/>
    </row>
    <row r="116" spans="1:24" s="1" customFormat="1" ht="13.5" customHeight="1">
      <c r="A116" s="10" t="s">
        <v>10</v>
      </c>
      <c r="B116" s="10"/>
      <c r="C116" s="10"/>
      <c r="D116" s="10"/>
      <c r="E116" s="10"/>
      <c r="F116" s="10"/>
      <c r="G116" s="10"/>
      <c r="H116" s="10"/>
      <c r="I116" s="5" t="s">
        <v>10</v>
      </c>
      <c r="J116" s="57" t="s">
        <v>184</v>
      </c>
      <c r="K116" s="57"/>
      <c r="L116" s="57"/>
      <c r="M116" s="5" t="s">
        <v>10</v>
      </c>
      <c r="N116" s="5" t="s">
        <v>10</v>
      </c>
      <c r="O116" s="57" t="s">
        <v>185</v>
      </c>
      <c r="P116" s="57"/>
      <c r="Q116" s="10" t="s">
        <v>10</v>
      </c>
      <c r="R116" s="10"/>
      <c r="S116" s="10"/>
      <c r="T116" s="10"/>
      <c r="U116" s="10"/>
      <c r="V116" s="10"/>
      <c r="W116" s="10"/>
      <c r="X116" s="10"/>
    </row>
    <row r="117" spans="1:24" s="1" customFormat="1" ht="7.5" customHeight="1">
      <c r="A117" s="10" t="s">
        <v>10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s="1" customFormat="1" ht="13.5" customHeight="1">
      <c r="A118" s="10" t="s">
        <v>10</v>
      </c>
      <c r="B118" s="10"/>
      <c r="C118" s="10"/>
      <c r="D118" s="10"/>
      <c r="E118" s="10"/>
      <c r="F118" s="10"/>
      <c r="G118" s="10"/>
      <c r="H118" s="10"/>
      <c r="I118" s="56" t="s">
        <v>10</v>
      </c>
      <c r="J118" s="56"/>
      <c r="K118" s="56"/>
      <c r="L118" s="56"/>
      <c r="M118" s="56"/>
      <c r="N118" s="56" t="s">
        <v>186</v>
      </c>
      <c r="O118" s="56"/>
      <c r="P118" s="56"/>
      <c r="Q118" s="56"/>
      <c r="R118" s="10" t="s">
        <v>10</v>
      </c>
      <c r="S118" s="10"/>
      <c r="T118" s="10"/>
      <c r="U118" s="10"/>
      <c r="V118" s="10"/>
      <c r="W118" s="10"/>
      <c r="X118" s="10"/>
    </row>
    <row r="119" spans="1:24" s="1" customFormat="1" ht="13.5" customHeight="1">
      <c r="A119" s="10" t="s">
        <v>10</v>
      </c>
      <c r="B119" s="10"/>
      <c r="C119" s="10"/>
      <c r="D119" s="10"/>
      <c r="E119" s="10"/>
      <c r="F119" s="10"/>
      <c r="G119" s="10"/>
      <c r="H119" s="10"/>
      <c r="I119" s="5" t="s">
        <v>10</v>
      </c>
      <c r="J119" s="57" t="s">
        <v>184</v>
      </c>
      <c r="K119" s="57"/>
      <c r="L119" s="57"/>
      <c r="M119" s="5" t="s">
        <v>10</v>
      </c>
      <c r="N119" s="5" t="s">
        <v>10</v>
      </c>
      <c r="O119" s="57" t="s">
        <v>185</v>
      </c>
      <c r="P119" s="57"/>
      <c r="Q119" s="10" t="s">
        <v>10</v>
      </c>
      <c r="R119" s="10"/>
      <c r="S119" s="10"/>
      <c r="T119" s="10"/>
      <c r="U119" s="10"/>
      <c r="V119" s="10"/>
      <c r="W119" s="10"/>
      <c r="X119" s="10"/>
    </row>
    <row r="120" spans="1:24" s="1" customFormat="1" ht="7.5" customHeight="1">
      <c r="A120" s="10" t="s">
        <v>10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s="1" customFormat="1" ht="13.5" customHeight="1">
      <c r="A121" s="10" t="s">
        <v>187</v>
      </c>
      <c r="B121" s="10"/>
      <c r="C121" s="56" t="s">
        <v>10</v>
      </c>
      <c r="D121" s="56"/>
      <c r="E121" s="56"/>
      <c r="F121" s="56"/>
      <c r="G121" s="56"/>
      <c r="H121" s="56"/>
      <c r="I121" s="56" t="s">
        <v>10</v>
      </c>
      <c r="J121" s="56"/>
      <c r="K121" s="56"/>
      <c r="L121" s="56"/>
      <c r="M121" s="56"/>
      <c r="N121" s="56" t="s">
        <v>186</v>
      </c>
      <c r="O121" s="56"/>
      <c r="P121" s="56"/>
      <c r="Q121" s="56"/>
      <c r="R121" s="10" t="s">
        <v>10</v>
      </c>
      <c r="S121" s="10"/>
      <c r="T121" s="10"/>
      <c r="U121" s="10"/>
      <c r="V121" s="10"/>
      <c r="W121" s="10"/>
      <c r="X121" s="10"/>
    </row>
    <row r="122" spans="1:24" s="1" customFormat="1" ht="13.5" customHeight="1">
      <c r="A122" s="10" t="s">
        <v>10</v>
      </c>
      <c r="B122" s="10"/>
      <c r="C122" s="5" t="s">
        <v>10</v>
      </c>
      <c r="D122" s="57" t="s">
        <v>188</v>
      </c>
      <c r="E122" s="57"/>
      <c r="F122" s="57"/>
      <c r="G122" s="57"/>
      <c r="H122" s="5" t="s">
        <v>10</v>
      </c>
      <c r="I122" s="5" t="s">
        <v>10</v>
      </c>
      <c r="J122" s="57" t="s">
        <v>184</v>
      </c>
      <c r="K122" s="57"/>
      <c r="L122" s="57"/>
      <c r="M122" s="5" t="s">
        <v>10</v>
      </c>
      <c r="N122" s="5" t="s">
        <v>10</v>
      </c>
      <c r="O122" s="57" t="s">
        <v>185</v>
      </c>
      <c r="P122" s="57"/>
      <c r="Q122" s="10" t="s">
        <v>10</v>
      </c>
      <c r="R122" s="10"/>
      <c r="S122" s="10"/>
      <c r="T122" s="10"/>
      <c r="U122" s="10"/>
      <c r="V122" s="10"/>
      <c r="W122" s="10"/>
      <c r="X122" s="10"/>
    </row>
    <row r="123" spans="1:24" s="1" customFormat="1" ht="15.75" customHeight="1">
      <c r="A123" s="10" t="s">
        <v>10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s="1" customFormat="1" ht="13.5" customHeight="1">
      <c r="A124" s="58" t="s">
        <v>189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10" t="s">
        <v>10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s="1" customFormat="1" ht="13.5" customHeight="1">
      <c r="A125" s="9" t="s">
        <v>190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</sheetData>
  <sheetProtection/>
  <mergeCells count="653">
    <mergeCell ref="A124:J124"/>
    <mergeCell ref="K124:X124"/>
    <mergeCell ref="A125:X125"/>
    <mergeCell ref="A122:B122"/>
    <mergeCell ref="D122:G122"/>
    <mergeCell ref="J122:L122"/>
    <mergeCell ref="O122:P122"/>
    <mergeCell ref="Q122:X122"/>
    <mergeCell ref="A123:X123"/>
    <mergeCell ref="A120:X120"/>
    <mergeCell ref="A121:B121"/>
    <mergeCell ref="C121:H121"/>
    <mergeCell ref="I121:M121"/>
    <mergeCell ref="N121:Q121"/>
    <mergeCell ref="R121:X121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1:X101"/>
    <mergeCell ref="A102:X102"/>
    <mergeCell ref="A103:K103"/>
    <mergeCell ref="L103:M103"/>
    <mergeCell ref="N103:O103"/>
    <mergeCell ref="P103:R103"/>
    <mergeCell ref="S103:V103"/>
    <mergeCell ref="W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3:X43"/>
    <mergeCell ref="A44:X44"/>
    <mergeCell ref="A45:K45"/>
    <mergeCell ref="L45:M45"/>
    <mergeCell ref="N45:O45"/>
    <mergeCell ref="P45:R45"/>
    <mergeCell ref="S45:V45"/>
    <mergeCell ref="W45:X45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2023-09-06T09:14:16Z</dcterms:created>
  <dcterms:modified xsi:type="dcterms:W3CDTF">2023-09-06T09:14:16Z</dcterms:modified>
  <cp:category/>
  <cp:version/>
  <cp:contentType/>
  <cp:contentStatus/>
</cp:coreProperties>
</file>