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0503117 Отчет об исп" sheetId="1" r:id="rId1"/>
  </sheets>
  <definedNames/>
  <calcPr fullCalcOnLoad="1"/>
</workbook>
</file>

<file path=xl/sharedStrings.xml><?xml version="1.0" encoding="utf-8"?>
<sst xmlns="http://schemas.openxmlformats.org/spreadsheetml/2006/main" count="495" uniqueCount="203">
  <si>
    <t>ОТЧЕТ ОБ ИСПОЛНЕНИИ БЮДЖЕТА</t>
  </si>
  <si>
    <t>КОДЫ</t>
  </si>
  <si>
    <t xml:space="preserve">Форма по ОКУД </t>
  </si>
  <si>
    <t>0503117</t>
  </si>
  <si>
    <t>на 1 августа 2023 г.</t>
  </si>
  <si>
    <t xml:space="preserve">Дата </t>
  </si>
  <si>
    <t>Наименование финансового органа</t>
  </si>
  <si>
    <t>Администрация Середского  СП ЯО</t>
  </si>
  <si>
    <t xml:space="preserve">по ОКПО </t>
  </si>
  <si>
    <t xml:space="preserve">Глава по БК </t>
  </si>
  <si>
    <t/>
  </si>
  <si>
    <t>Наименование публично-правового образования</t>
  </si>
  <si>
    <t>Бюджет Середского СП</t>
  </si>
  <si>
    <t xml:space="preserve">по ОКТМО </t>
  </si>
  <si>
    <t>0</t>
  </si>
  <si>
    <t>Периодичность:</t>
  </si>
  <si>
    <t>месячная, квартальная, годовая</t>
  </si>
  <si>
    <t>Единица измерения:</t>
  </si>
  <si>
    <t>руб.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</si>
  <si>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</si>
  <si>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</si>
  <si>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</si>
  <si>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</si>
  <si>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</si>
  <si>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</si>
  <si>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</si>
  <si>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</si>
  <si>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</si>
  <si>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</si>
  <si>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</si>
  <si>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</si>
  <si>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</si>
  <si>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</si>
  <si>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</si>
  <si>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t>Доходы бюджета всего, в т.ч.</t>
  </si>
  <si>
    <t>010</t>
  </si>
  <si>
    <t>х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</si>
  <si>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</si>
  <si>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100 10302231 01 0000 110</t>
  </si>
  <si>
    <t>-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</si>
  <si>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</si>
  <si>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</si>
  <si>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</si>
  <si>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</si>
  <si>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</si>
  <si>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</si>
  <si>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</si>
  <si>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182 10102010 01 0000 110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</si>
  <si>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</si>
  <si>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</si>
  <si>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</si>
  <si>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182 10102030 01 0000 110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</si>
  <si>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</si>
  <si>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182 10102130 01 0000 110</t>
  </si>
  <si>
    <t>182 10302231 01 0000 110</t>
  </si>
  <si>
    <t>182 10302241 01 0000 110</t>
  </si>
  <si>
    <t>182 10302251 01 0000 110</t>
  </si>
  <si>
    <t>182 10302261 01 0000 110</t>
  </si>
  <si>
    <t>Единый сельскохозяйственный налог</t>
  </si>
  <si>
    <t>182 10503010 01 0000 110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</si>
  <si>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</si>
  <si>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182 10601030 10 0000 110</t>
  </si>
  <si>
    <t>Земельный налог с организаций, обладающих земельным участком, расположенным в границах сельских поселений</t>
  </si>
  <si>
    <t>182 10606033 10 0000 110</t>
  </si>
  <si>
    <t>Земельный налог с физических лиц, обладающих земельным участком, расположенным в границах сельских поселений</t>
  </si>
  <si>
    <t>182 10606043 10 0000 110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</si>
  <si>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</si>
  <si>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182 10804020 01 0000 110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</si>
  <si>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</si>
  <si>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806 20805000 10 0000 150</t>
  </si>
  <si>
    <t>820 10804020 01 0000 110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</si>
  <si>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</si>
  <si>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820 11105025 10 0000 120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</si>
  <si>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</si>
  <si>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820 11109045 10 0000 120</t>
  </si>
  <si>
    <t>Прочие доходы от компенсации затрат бюджетов сельских поселений</t>
  </si>
  <si>
    <t>820 11302995 10 0000 130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</si>
  <si>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</si>
  <si>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820 11402053 10 0000 410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</si>
  <si>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</si>
  <si>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820 11406025 10 0000 430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</si>
  <si>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</si>
  <si>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820 11607010 10 0000 140</t>
  </si>
  <si>
    <t>Возмещение ущерба при возникновении страховых случаев, когда выгодоприобретателями выступают получатели средств бюджета сельского поселения</t>
  </si>
  <si>
    <t>820 11610031 10 0000 140</t>
  </si>
  <si>
    <t>Невыясненные поступления, зачисляемые в бюджеты сельских поселений</t>
  </si>
  <si>
    <t>820 11701050 10 0000 180</t>
  </si>
  <si>
    <t>Дотации бюджетам сельских поселений на выравнивание бюджетной обеспеченности из бюджета субъекта Российской Федерации</t>
  </si>
  <si>
    <t>820 20215001 10 0000 150</t>
  </si>
  <si>
    <t>Субсидии бюджетам сельских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</si>
  <si>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820 20220041 10 0000 150</t>
  </si>
  <si>
    <t>Прочие субсидии бюджетам сельских поселений</t>
  </si>
  <si>
    <t>820 20229999 10 0000 150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</si>
  <si>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</si>
  <si>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820 20235118 10 0000 150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</si>
  <si>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</si>
  <si>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820 20240014 10 0000 150</t>
  </si>
  <si>
    <t>Прочие межбюджетные трансферты, передаваемые бюджетам сельских поселений</t>
  </si>
  <si>
    <t>820 20249999 10 0000 150</t>
  </si>
  <si>
    <t>2. Расходы бюджета</t>
  </si>
  <si>
    <t>Код расхода по бюджетной классификации</t>
  </si>
  <si>
    <t>Расходы бюджета всего, в т.ч.</t>
  </si>
  <si>
    <t>200</t>
  </si>
  <si>
    <t>Фонд оплаты труда государственных (муниципальных) органов</t>
  </si>
  <si>
    <t>820 0102 5000013020 121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</si>
  <si>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</si>
  <si>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820 0102 5000013020 129</t>
  </si>
  <si>
    <t>820 0104 5000013040 121</t>
  </si>
  <si>
    <t>Иные выплаты персоналу государственных (муниципальных) органов, за исключением фонда оплаты труда</t>
  </si>
  <si>
    <t>820 0104 5000013040 122</t>
  </si>
  <si>
    <t>820 0104 5000013040 129</t>
  </si>
  <si>
    <t>Прочая закупка товаров, работ и услуг</t>
  </si>
  <si>
    <t>820 0104 5000013040 244</t>
  </si>
  <si>
    <t>Закупка энергетических ресурсов</t>
  </si>
  <si>
    <t>820 0104 5000013040 247</t>
  </si>
  <si>
    <t>Уплата налога на имущество организаций и земельного налога</t>
  </si>
  <si>
    <t>820 0104 5000013040 851</t>
  </si>
  <si>
    <t>Уплата прочих налогов, сборов</t>
  </si>
  <si>
    <t>820 0104 5000013040 852</t>
  </si>
  <si>
    <t>Уплата иных платежей</t>
  </si>
  <si>
    <t>820 0104 5000013040 853</t>
  </si>
  <si>
    <t>Резервные средства</t>
  </si>
  <si>
    <t>820 0111 5000013090 870</t>
  </si>
  <si>
    <t>820 0113 2310113010 244</t>
  </si>
  <si>
    <t>820 0113 3010113010 244</t>
  </si>
  <si>
    <t>820 0113 3610113100 244</t>
  </si>
  <si>
    <t>Иные межбюджетные трансферты</t>
  </si>
  <si>
    <t>820 0113 5000013050 540</t>
  </si>
  <si>
    <t>820 0113 5000013060 244</t>
  </si>
  <si>
    <t>820 0113 5000013060 247</t>
  </si>
  <si>
    <t>Исполнение судебных актов Российской Федерации и мировых соглашений по возмещению причиненного вреда</t>
  </si>
  <si>
    <t>820 0113 5000013060 831</t>
  </si>
  <si>
    <t>820 0113 5000013060 852</t>
  </si>
  <si>
    <t>820 0113 5000013060 853</t>
  </si>
  <si>
    <t>820 0203 5000051180 121</t>
  </si>
  <si>
    <t>820 0203 5000051180 129</t>
  </si>
  <si>
    <t>820 0203 5000051180 244</t>
  </si>
  <si>
    <t>820 0309 0810113180 244</t>
  </si>
  <si>
    <t>820 0309 0810213190 244</t>
  </si>
  <si>
    <t>820 0309 0810313200 244</t>
  </si>
  <si>
    <t>820 0309 1010113070 244</t>
  </si>
  <si>
    <t>820 0310 4010113010 244</t>
  </si>
  <si>
    <t>820 0409 2410110220 244</t>
  </si>
  <si>
    <t>820 0409 2410112440 244</t>
  </si>
  <si>
    <t>820 0409 2410112440 540</t>
  </si>
  <si>
    <t>820 0409 2410113010 244</t>
  </si>
  <si>
    <t>820 0409 2410117350 244</t>
  </si>
  <si>
    <t>820 0409 2410117350 540</t>
  </si>
  <si>
    <t>820 0409 2410172440 244</t>
  </si>
  <si>
    <t>820 0409 2410172440 540</t>
  </si>
  <si>
    <t>820 0409 2410177350 244</t>
  </si>
  <si>
    <t>820 0409 2410177350 540</t>
  </si>
  <si>
    <t>820 0412 2520113880 540</t>
  </si>
  <si>
    <t>820 0412 2520172880 540</t>
  </si>
  <si>
    <t>820 0501 1410113010 244</t>
  </si>
  <si>
    <t>820 0502 1410210020 244</t>
  </si>
  <si>
    <t>Бюджетные инвестиции в объекты капитального строительства государственной (муниципальной) собственности</t>
  </si>
  <si>
    <t>820 0502 1410210020 414</t>
  </si>
  <si>
    <t>820 0503 1410313010 244</t>
  </si>
  <si>
    <t>820 0503 1410313010 247</t>
  </si>
  <si>
    <t>820 0503 1410413030 244</t>
  </si>
  <si>
    <t>820 0503 1410413080 244</t>
  </si>
  <si>
    <t>820 0503 1410413120 244</t>
  </si>
  <si>
    <t>820 0503 1410571810 244</t>
  </si>
  <si>
    <t>820 0503 1410576900 244</t>
  </si>
  <si>
    <t>820 0503 2510113210 244</t>
  </si>
  <si>
    <t>820 0503 2510170410 244</t>
  </si>
  <si>
    <t>820 0707 1310113010 244</t>
  </si>
  <si>
    <t>820 0801 1310113010 244</t>
  </si>
  <si>
    <t>820 0801 1310113010 540</t>
  </si>
  <si>
    <t>Иные пенсии, социальные доплаты к пенсиям</t>
  </si>
  <si>
    <t>820 1001 5000013160 312</t>
  </si>
  <si>
    <t>Пособия, компенсации, меры социальной поддержки по публичным нормативным обязательствам</t>
  </si>
  <si>
    <t>820 1003 5000013170 313</t>
  </si>
  <si>
    <t>820 1102 1310113010 244</t>
  </si>
  <si>
    <t>Результат исполнения бюджета (дефицит\ профицит)</t>
  </si>
  <si>
    <t>450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</si>
  <si>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</si>
  <si>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</si>
  <si>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</si>
  <si>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</si>
  <si>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 xml:space="preserve">     в том числе:</t>
  </si>
  <si>
    <t>источники внутреннего финансирования бюджета, из них:</t>
  </si>
  <si>
    <t>520</t>
  </si>
  <si>
    <t>источники внешнего финансирования бюджета, из них:</t>
  </si>
  <si>
    <t>620</t>
  </si>
  <si>
    <t>Изменение остатков средств</t>
  </si>
  <si>
    <t>700</t>
  </si>
  <si>
    <t>01050000 00 0000 000</t>
  </si>
  <si>
    <t xml:space="preserve">     увеличение остатков средств</t>
  </si>
  <si>
    <t>710</t>
  </si>
  <si>
    <t>820 01050201 10 0000 510</t>
  </si>
  <si>
    <t xml:space="preserve">     уменьшение остатков средств</t>
  </si>
  <si>
    <t>720</t>
  </si>
  <si>
    <t>820 01050201 10 0000 610</t>
  </si>
  <si>
    <t>Прудова Л. А.</t>
  </si>
  <si>
    <t>(подпись)</t>
  </si>
  <si>
    <t>(расшифровка подписи)</t>
  </si>
  <si>
    <t>Смирнова Т. А.</t>
  </si>
  <si>
    <t>Исполнитель:</t>
  </si>
  <si>
    <t>(должность)</t>
  </si>
  <si>
    <t xml:space="preserve">   6 сентября 2023 г.   </t>
  </si>
  <si>
    <t>Форма 0503117 с.1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</si>
</sst>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</numFmts>
  <fonts count="44">
    <font>
      <sz val="10"/>
      <name val="Arial"/>
      <family val="0"/>
    </font>
    <font>
      <sz val="9"/>
      <name val="Arial"/>
      <family val="0"/>
    </font>
    <font>
      <sz val="9"/>
      <name val="Tahoma"/>
      <family val="0"/>
    </font>
    <font>
      <sz val="9"/>
      <color indexed="8"/>
      <name val="Tahoma"/>
      <family val="0"/>
    </font>
    <font>
      <b/>
      <sz val="9"/>
      <color indexed="8"/>
      <name val="Tahoma"/>
      <family val="0"/>
    </font>
    <font>
      <sz val="8"/>
      <color indexed="8"/>
      <name val="Tahoma"/>
      <family val="0"/>
    </font>
    <font>
      <i/>
      <sz val="8"/>
      <color indexed="8"/>
      <name val="Tahoma"/>
      <family val="0"/>
    </font>
    <font>
      <b/>
      <sz val="8"/>
      <color indexed="8"/>
      <name val="Tahoma"/>
      <family val="0"/>
    </font>
    <font>
      <sz val="7"/>
      <color indexed="8"/>
      <name val="Tahoma"/>
      <family val="0"/>
    </font>
    <font>
      <u val="single"/>
      <sz val="8"/>
      <color indexed="8"/>
      <name val="Tahoma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11" xfId="0" applyNumberFormat="1" applyFont="1" applyFill="1" applyBorder="1" applyAlignment="1">
      <alignment horizontal="center" vertical="center" wrapText="1"/>
    </xf>
    <xf numFmtId="14" fontId="5" fillId="33" borderId="12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5" fillId="33" borderId="12" xfId="0" applyNumberFormat="1" applyFont="1" applyFill="1" applyBorder="1" applyAlignment="1">
      <alignment horizontal="center" vertical="center" wrapText="1"/>
    </xf>
    <xf numFmtId="0" fontId="5" fillId="33" borderId="13" xfId="0" applyNumberFormat="1" applyFont="1" applyFill="1" applyBorder="1" applyAlignment="1">
      <alignment horizontal="center" vertical="center" wrapText="1"/>
    </xf>
    <xf numFmtId="0" fontId="4" fillId="33" borderId="0" xfId="0" applyNumberFormat="1" applyFont="1" applyFill="1" applyAlignment="1">
      <alignment horizontal="center" wrapText="1"/>
    </xf>
    <xf numFmtId="0" fontId="5" fillId="33" borderId="0" xfId="0" applyNumberFormat="1" applyFont="1" applyFill="1" applyAlignment="1">
      <alignment horizontal="right" wrapText="1"/>
    </xf>
    <xf numFmtId="0" fontId="5" fillId="33" borderId="0" xfId="0" applyNumberFormat="1" applyFont="1" applyFill="1" applyAlignment="1">
      <alignment horizontal="left" wrapText="1"/>
    </xf>
    <xf numFmtId="0" fontId="6" fillId="33" borderId="14" xfId="0" applyNumberFormat="1" applyFont="1" applyFill="1" applyBorder="1" applyAlignment="1">
      <alignment horizontal="left" wrapText="1"/>
    </xf>
    <xf numFmtId="0" fontId="7" fillId="33" borderId="0" xfId="0" applyNumberFormat="1" applyFont="1" applyFill="1" applyAlignment="1">
      <alignment horizontal="center" wrapText="1"/>
    </xf>
    <xf numFmtId="0" fontId="5" fillId="33" borderId="15" xfId="0" applyNumberFormat="1" applyFont="1" applyFill="1" applyBorder="1" applyAlignment="1">
      <alignment horizontal="center" vertical="center" wrapText="1"/>
    </xf>
    <xf numFmtId="0" fontId="5" fillId="33" borderId="16" xfId="0" applyNumberFormat="1" applyFont="1" applyFill="1" applyBorder="1" applyAlignment="1">
      <alignment horizontal="center" vertical="center" wrapText="1"/>
    </xf>
    <xf numFmtId="0" fontId="5" fillId="33" borderId="17" xfId="0" applyNumberFormat="1" applyFont="1" applyFill="1" applyBorder="1" applyAlignment="1">
      <alignment horizontal="center" vertical="center" wrapText="1"/>
    </xf>
    <xf numFmtId="0" fontId="8" fillId="33" borderId="18" xfId="0" applyNumberFormat="1" applyFont="1" applyFill="1" applyBorder="1" applyAlignment="1">
      <alignment horizontal="center" vertical="center" wrapText="1"/>
    </xf>
    <xf numFmtId="0" fontId="8" fillId="33" borderId="19" xfId="0" applyNumberFormat="1" applyFont="1" applyFill="1" applyBorder="1" applyAlignment="1">
      <alignment horizontal="center" vertical="center" wrapText="1"/>
    </xf>
    <xf numFmtId="0" fontId="8" fillId="33" borderId="20" xfId="0" applyNumberFormat="1" applyFont="1" applyFill="1" applyBorder="1" applyAlignment="1">
      <alignment horizontal="center" vertical="center" wrapText="1"/>
    </xf>
    <xf numFmtId="0" fontId="5" fillId="33" borderId="18" xfId="0" applyNumberFormat="1" applyFont="1" applyFill="1" applyBorder="1" applyAlignment="1">
      <alignment horizontal="left" vertical="center" wrapText="1"/>
    </xf>
    <xf numFmtId="0" fontId="5" fillId="33" borderId="18" xfId="0" applyNumberFormat="1" applyFont="1" applyFill="1" applyBorder="1" applyAlignment="1">
      <alignment horizontal="center" vertical="center" wrapText="1"/>
    </xf>
    <xf numFmtId="4" fontId="5" fillId="33" borderId="19" xfId="0" applyNumberFormat="1" applyFont="1" applyFill="1" applyBorder="1" applyAlignment="1">
      <alignment horizontal="right" vertical="center" wrapText="1"/>
    </xf>
    <xf numFmtId="4" fontId="5" fillId="33" borderId="20" xfId="0" applyNumberFormat="1" applyFont="1" applyFill="1" applyBorder="1" applyAlignment="1">
      <alignment horizontal="right" vertical="center" wrapText="1"/>
    </xf>
    <xf numFmtId="0" fontId="5" fillId="33" borderId="21" xfId="0" applyNumberFormat="1" applyFont="1" applyFill="1" applyBorder="1" applyAlignment="1">
      <alignment horizontal="left" vertical="center" wrapText="1"/>
    </xf>
    <xf numFmtId="0" fontId="5" fillId="33" borderId="21" xfId="0" applyNumberFormat="1" applyFont="1" applyFill="1" applyBorder="1" applyAlignment="1">
      <alignment horizontal="center" vertical="center" wrapText="1"/>
    </xf>
    <xf numFmtId="4" fontId="5" fillId="33" borderId="22" xfId="0" applyNumberFormat="1" applyFont="1" applyFill="1" applyBorder="1" applyAlignment="1">
      <alignment horizontal="right" vertical="center" wrapText="1"/>
    </xf>
    <xf numFmtId="0" fontId="5" fillId="33" borderId="22" xfId="0" applyNumberFormat="1" applyFont="1" applyFill="1" applyBorder="1" applyAlignment="1">
      <alignment horizontal="right" vertical="center" wrapText="1"/>
    </xf>
    <xf numFmtId="0" fontId="5" fillId="33" borderId="23" xfId="0" applyNumberFormat="1" applyFont="1" applyFill="1" applyBorder="1" applyAlignment="1">
      <alignment horizontal="right" vertical="center" wrapText="1"/>
    </xf>
    <xf numFmtId="4" fontId="5" fillId="33" borderId="23" xfId="0" applyNumberFormat="1" applyFont="1" applyFill="1" applyBorder="1" applyAlignment="1">
      <alignment horizontal="right" vertical="center" wrapText="1"/>
    </xf>
    <xf numFmtId="0" fontId="7" fillId="33" borderId="24" xfId="0" applyNumberFormat="1" applyFont="1" applyFill="1" applyBorder="1" applyAlignment="1">
      <alignment horizontal="center" wrapText="1"/>
    </xf>
    <xf numFmtId="0" fontId="5" fillId="33" borderId="25" xfId="0" applyNumberFormat="1" applyFont="1" applyFill="1" applyBorder="1" applyAlignment="1">
      <alignment horizontal="left" vertical="center" wrapText="1"/>
    </xf>
    <xf numFmtId="0" fontId="5" fillId="33" borderId="25" xfId="0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right" vertical="center" wrapText="1"/>
    </xf>
    <xf numFmtId="4" fontId="5" fillId="33" borderId="26" xfId="0" applyNumberFormat="1" applyFont="1" applyFill="1" applyBorder="1" applyAlignment="1">
      <alignment horizontal="right" vertical="center" wrapText="1"/>
    </xf>
    <xf numFmtId="0" fontId="5" fillId="33" borderId="10" xfId="0" applyNumberFormat="1" applyFont="1" applyFill="1" applyBorder="1" applyAlignment="1">
      <alignment horizontal="right" vertical="center" wrapText="1"/>
    </xf>
    <xf numFmtId="0" fontId="5" fillId="33" borderId="26" xfId="0" applyNumberFormat="1" applyFont="1" applyFill="1" applyBorder="1" applyAlignment="1">
      <alignment horizontal="right" vertical="center" wrapText="1"/>
    </xf>
    <xf numFmtId="0" fontId="5" fillId="33" borderId="27" xfId="0" applyNumberFormat="1" applyFont="1" applyFill="1" applyBorder="1" applyAlignment="1">
      <alignment horizontal="left" vertical="center" wrapText="1"/>
    </xf>
    <xf numFmtId="0" fontId="5" fillId="33" borderId="27" xfId="0" applyNumberFormat="1" applyFont="1" applyFill="1" applyBorder="1" applyAlignment="1">
      <alignment horizontal="center" vertical="center" wrapText="1"/>
    </xf>
    <xf numFmtId="4" fontId="5" fillId="33" borderId="28" xfId="0" applyNumberFormat="1" applyFont="1" applyFill="1" applyBorder="1" applyAlignment="1">
      <alignment horizontal="right" vertical="center" wrapText="1"/>
    </xf>
    <xf numFmtId="0" fontId="5" fillId="33" borderId="29" xfId="0" applyNumberFormat="1" applyFont="1" applyFill="1" applyBorder="1" applyAlignment="1">
      <alignment horizontal="center" vertical="center" wrapText="1"/>
    </xf>
    <xf numFmtId="4" fontId="5" fillId="33" borderId="30" xfId="0" applyNumberFormat="1" applyFont="1" applyFill="1" applyBorder="1" applyAlignment="1">
      <alignment horizontal="right" vertical="center" wrapText="1"/>
    </xf>
    <xf numFmtId="0" fontId="5" fillId="33" borderId="31" xfId="0" applyNumberFormat="1" applyFont="1" applyFill="1" applyBorder="1" applyAlignment="1">
      <alignment horizontal="center" vertical="center" wrapText="1"/>
    </xf>
    <xf numFmtId="0" fontId="5" fillId="33" borderId="32" xfId="0" applyNumberFormat="1" applyFont="1" applyFill="1" applyBorder="1" applyAlignment="1">
      <alignment horizontal="left" vertical="center" wrapText="1"/>
    </xf>
    <xf numFmtId="0" fontId="5" fillId="33" borderId="32" xfId="0" applyNumberFormat="1" applyFont="1" applyFill="1" applyBorder="1" applyAlignment="1">
      <alignment horizontal="center" vertical="center" wrapText="1"/>
    </xf>
    <xf numFmtId="0" fontId="5" fillId="33" borderId="33" xfId="0" applyNumberFormat="1" applyFont="1" applyFill="1" applyBorder="1" applyAlignment="1">
      <alignment horizontal="right" vertical="center" wrapText="1"/>
    </xf>
    <xf numFmtId="0" fontId="5" fillId="33" borderId="34" xfId="0" applyNumberFormat="1" applyFont="1" applyFill="1" applyBorder="1" applyAlignment="1">
      <alignment horizontal="right" vertical="center" wrapText="1"/>
    </xf>
    <xf numFmtId="0" fontId="5" fillId="33" borderId="35" xfId="0" applyNumberFormat="1" applyFont="1" applyFill="1" applyBorder="1" applyAlignment="1">
      <alignment horizontal="right" vertical="center" wrapText="1"/>
    </xf>
    <xf numFmtId="0" fontId="5" fillId="33" borderId="36" xfId="0" applyNumberFormat="1" applyFont="1" applyFill="1" applyBorder="1" applyAlignment="1">
      <alignment horizontal="center" vertical="center" wrapText="1"/>
    </xf>
    <xf numFmtId="0" fontId="5" fillId="33" borderId="37" xfId="0" applyNumberFormat="1" applyFont="1" applyFill="1" applyBorder="1" applyAlignment="1">
      <alignment horizontal="right" vertical="center" wrapText="1"/>
    </xf>
    <xf numFmtId="0" fontId="5" fillId="33" borderId="38" xfId="0" applyNumberFormat="1" applyFont="1" applyFill="1" applyBorder="1" applyAlignment="1">
      <alignment horizontal="right" vertical="center" wrapText="1"/>
    </xf>
    <xf numFmtId="0" fontId="5" fillId="33" borderId="39" xfId="0" applyNumberFormat="1" applyFont="1" applyFill="1" applyBorder="1" applyAlignment="1">
      <alignment horizontal="right" vertical="center" wrapText="1"/>
    </xf>
    <xf numFmtId="0" fontId="5" fillId="33" borderId="40" xfId="0" applyNumberFormat="1" applyFont="1" applyFill="1" applyBorder="1" applyAlignment="1">
      <alignment horizontal="right" vertical="center" wrapText="1"/>
    </xf>
    <xf numFmtId="4" fontId="5" fillId="33" borderId="39" xfId="0" applyNumberFormat="1" applyFont="1" applyFill="1" applyBorder="1" applyAlignment="1">
      <alignment horizontal="right" vertical="center" wrapText="1"/>
    </xf>
    <xf numFmtId="4" fontId="5" fillId="33" borderId="40" xfId="0" applyNumberFormat="1" applyFont="1" applyFill="1" applyBorder="1" applyAlignment="1">
      <alignment horizontal="right" vertical="center" wrapText="1"/>
    </xf>
    <xf numFmtId="0" fontId="5" fillId="33" borderId="40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center" vertical="center" wrapText="1"/>
    </xf>
    <xf numFmtId="0" fontId="5" fillId="33" borderId="0" xfId="0" applyNumberFormat="1" applyFont="1" applyFill="1" applyAlignment="1">
      <alignment horizontal="center" wrapText="1"/>
    </xf>
    <xf numFmtId="0" fontId="8" fillId="33" borderId="41" xfId="0" applyNumberFormat="1" applyFont="1" applyFill="1" applyBorder="1" applyAlignment="1">
      <alignment horizontal="center" wrapText="1"/>
    </xf>
    <xf numFmtId="0" fontId="9" fillId="33" borderId="0" xfId="0" applyNumberFormat="1" applyFont="1" applyFill="1" applyAlignment="1">
      <alignment horizontal="left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134"/>
  <sheetViews>
    <sheetView tabSelected="1" zoomScalePageLayoutView="0" workbookViewId="0" topLeftCell="A1">
      <selection activeCell="W13" sqref="W13:X13"/>
    </sheetView>
  </sheetViews>
  <sheetFormatPr defaultColWidth="9.140625" defaultRowHeight="12.75"/>
  <cols>
    <col min="1" max="1" width="13.7109375" style="1" customWidth="1"/>
    <col min="2" max="3" width="1.7109375" style="1" customWidth="1"/>
    <col min="4" max="4" width="0.13671875" style="1" customWidth="1"/>
    <col min="5" max="5" width="13.7109375" style="1" customWidth="1"/>
    <col min="6" max="6" width="9.7109375" style="1" customWidth="1"/>
    <col min="7" max="7" width="4.7109375" style="1" customWidth="1"/>
    <col min="8" max="8" width="1.7109375" style="1" customWidth="1"/>
    <col min="9" max="9" width="2.7109375" style="1" customWidth="1"/>
    <col min="10" max="10" width="1.7109375" style="1" customWidth="1"/>
    <col min="11" max="11" width="13.7109375" style="1" customWidth="1"/>
    <col min="12" max="13" width="3.7109375" style="1" customWidth="1"/>
    <col min="14" max="14" width="2.7109375" style="1" customWidth="1"/>
    <col min="15" max="15" width="21.7109375" style="1" customWidth="1"/>
    <col min="16" max="17" width="2.7109375" style="1" customWidth="1"/>
    <col min="18" max="18" width="12.7109375" style="1" customWidth="1"/>
    <col min="19" max="19" width="7.7109375" style="1" customWidth="1"/>
    <col min="20" max="20" width="3.7109375" style="1" customWidth="1"/>
    <col min="21" max="21" width="1.7109375" style="1" customWidth="1"/>
    <col min="22" max="23" width="4.7109375" style="1" customWidth="1"/>
    <col min="24" max="24" width="12.7109375" style="1" customWidth="1"/>
  </cols>
  <sheetData>
    <row r="1" spans="1:24" s="1" customFormat="1" ht="13.5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2" t="s">
        <v>1</v>
      </c>
    </row>
    <row r="2" spans="1:24" s="1" customFormat="1" ht="13.5" customHeight="1">
      <c r="A2" s="9" t="s">
        <v>2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3" t="s">
        <v>3</v>
      </c>
    </row>
    <row r="3" spans="1:24" s="1" customFormat="1" ht="13.5" customHeight="1">
      <c r="A3" s="8" t="s">
        <v>4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9" t="s">
        <v>5</v>
      </c>
      <c r="W3" s="9"/>
      <c r="X3" s="4">
        <v>45139</v>
      </c>
    </row>
    <row r="4" spans="1:24" s="1" customFormat="1" ht="13.5" customHeight="1">
      <c r="A4" s="10" t="s">
        <v>6</v>
      </c>
      <c r="B4" s="10"/>
      <c r="C4" s="10"/>
      <c r="D4" s="10"/>
      <c r="E4" s="10"/>
      <c r="F4" s="11" t="s">
        <v>7</v>
      </c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9" t="s">
        <v>8</v>
      </c>
      <c r="V4" s="9"/>
      <c r="W4" s="9"/>
      <c r="X4" s="6" t="s">
        <v>10</v>
      </c>
    </row>
    <row r="5" spans="1:24" s="1" customFormat="1" ht="13.5" customHeight="1">
      <c r="A5" s="10"/>
      <c r="B5" s="10"/>
      <c r="C5" s="10"/>
      <c r="D5" s="10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9" t="s">
        <v>9</v>
      </c>
      <c r="V5" s="9"/>
      <c r="W5" s="9"/>
      <c r="X5" s="6" t="s">
        <v>10</v>
      </c>
    </row>
    <row r="6" spans="1:24" s="1" customFormat="1" ht="13.5" customHeight="1">
      <c r="A6" s="10" t="s">
        <v>11</v>
      </c>
      <c r="B6" s="10"/>
      <c r="C6" s="10"/>
      <c r="D6" s="10"/>
      <c r="E6" s="10"/>
      <c r="F6" s="10"/>
      <c r="G6" s="11" t="s">
        <v>12</v>
      </c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9" t="s">
        <v>13</v>
      </c>
      <c r="V6" s="9"/>
      <c r="W6" s="9"/>
      <c r="X6" s="6" t="s">
        <v>14</v>
      </c>
    </row>
    <row r="7" spans="1:24" s="1" customFormat="1" ht="13.5" customHeight="1">
      <c r="A7" s="5" t="s">
        <v>15</v>
      </c>
      <c r="B7" s="10" t="s">
        <v>16</v>
      </c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6" t="s">
        <v>10</v>
      </c>
    </row>
    <row r="8" spans="1:24" s="1" customFormat="1" ht="13.5" customHeight="1">
      <c r="A8" s="10" t="s">
        <v>17</v>
      </c>
      <c r="B8" s="10"/>
      <c r="C8" s="10"/>
      <c r="D8" s="10"/>
      <c r="E8" s="10" t="s">
        <v>18</v>
      </c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9" t="s">
        <v>19</v>
      </c>
      <c r="U8" s="9"/>
      <c r="V8" s="9"/>
      <c r="W8" s="9"/>
      <c r="X8" s="7" t="s">
        <v>20</v>
      </c>
    </row>
    <row r="9" spans="1:24" s="1" customFormat="1" ht="13.5" customHeight="1">
      <c r="A9" s="12" t="s">
        <v>21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</row>
    <row r="10" spans="1:24" s="1" customFormat="1" ht="34.5" customHeight="1">
      <c r="A10" s="13" t="s">
        <v>22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 t="s">
        <v>23</v>
      </c>
      <c r="M10" s="13"/>
      <c r="N10" s="13" t="s">
        <v>24</v>
      </c>
      <c r="O10" s="13"/>
      <c r="P10" s="14" t="s">
        <v>25</v>
      </c>
      <c r="Q10" s="14"/>
      <c r="R10" s="14"/>
      <c r="S10" s="14" t="s">
        <v>26</v>
      </c>
      <c r="T10" s="14"/>
      <c r="U10" s="14"/>
      <c r="V10" s="14"/>
      <c r="W10" s="15" t="s">
        <v>27</v>
      </c>
      <c r="X10" s="15"/>
    </row>
    <row r="11" spans="1:24" s="1" customFormat="1" ht="12.75" customHeight="1">
      <c r="A11" s="16" t="s">
        <v>28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 t="s">
        <v>29</v>
      </c>
      <c r="M11" s="16"/>
      <c r="N11" s="16" t="s">
        <v>30</v>
      </c>
      <c r="O11" s="16"/>
      <c r="P11" s="17" t="s">
        <v>31</v>
      </c>
      <c r="Q11" s="17"/>
      <c r="R11" s="17"/>
      <c r="S11" s="17" t="s">
        <v>32</v>
      </c>
      <c r="T11" s="17"/>
      <c r="U11" s="17"/>
      <c r="V11" s="17"/>
      <c r="W11" s="18" t="s">
        <v>33</v>
      </c>
      <c r="X11" s="18"/>
    </row>
    <row r="12" spans="1:24" s="1" customFormat="1" ht="13.5" customHeight="1">
      <c r="A12" s="19" t="s">
        <v>34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20" t="s">
        <v>35</v>
      </c>
      <c r="M12" s="20"/>
      <c r="N12" s="20" t="s">
        <v>36</v>
      </c>
      <c r="O12" s="20"/>
      <c r="P12" s="21">
        <f>28355770.13</f>
        <v>28355770.13</v>
      </c>
      <c r="Q12" s="21"/>
      <c r="R12" s="21"/>
      <c r="S12" s="21">
        <f>15172621.58</f>
        <v>15172621.58</v>
      </c>
      <c r="T12" s="21"/>
      <c r="U12" s="21"/>
      <c r="V12" s="21"/>
      <c r="W12" s="22">
        <f>13183148.55</f>
        <v>13183148.55</v>
      </c>
      <c r="X12" s="22"/>
    </row>
    <row r="13" spans="1:24" s="1" customFormat="1" ht="66" customHeight="1">
      <c r="A13" s="23" t="s">
        <v>37</v>
      </c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4" t="s">
        <v>35</v>
      </c>
      <c r="M13" s="24"/>
      <c r="N13" s="24" t="s">
        <v>38</v>
      </c>
      <c r="O13" s="24"/>
      <c r="P13" s="25">
        <f>0</f>
        <v>0</v>
      </c>
      <c r="Q13" s="25"/>
      <c r="R13" s="25"/>
      <c r="S13" s="26" t="s">
        <v>39</v>
      </c>
      <c r="T13" s="26"/>
      <c r="U13" s="26"/>
      <c r="V13" s="26"/>
      <c r="W13" s="27" t="s">
        <v>39</v>
      </c>
      <c r="X13" s="27"/>
    </row>
    <row r="14" spans="1:24" s="1" customFormat="1" ht="75.75" customHeight="1">
      <c r="A14" s="23" t="s">
        <v>40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4" t="s">
        <v>35</v>
      </c>
      <c r="M14" s="24"/>
      <c r="N14" s="24" t="s">
        <v>41</v>
      </c>
      <c r="O14" s="24"/>
      <c r="P14" s="25">
        <f>0</f>
        <v>0</v>
      </c>
      <c r="Q14" s="25"/>
      <c r="R14" s="25"/>
      <c r="S14" s="26" t="s">
        <v>39</v>
      </c>
      <c r="T14" s="26"/>
      <c r="U14" s="26"/>
      <c r="V14" s="26"/>
      <c r="W14" s="27" t="s">
        <v>39</v>
      </c>
      <c r="X14" s="27"/>
    </row>
    <row r="15" spans="1:24" s="1" customFormat="1" ht="66" customHeight="1">
      <c r="A15" s="23" t="s">
        <v>42</v>
      </c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4" t="s">
        <v>35</v>
      </c>
      <c r="M15" s="24"/>
      <c r="N15" s="24" t="s">
        <v>43</v>
      </c>
      <c r="O15" s="24"/>
      <c r="P15" s="25">
        <f>0</f>
        <v>0</v>
      </c>
      <c r="Q15" s="25"/>
      <c r="R15" s="25"/>
      <c r="S15" s="26" t="s">
        <v>39</v>
      </c>
      <c r="T15" s="26"/>
      <c r="U15" s="26"/>
      <c r="V15" s="26"/>
      <c r="W15" s="27" t="s">
        <v>39</v>
      </c>
      <c r="X15" s="27"/>
    </row>
    <row r="16" spans="1:24" s="1" customFormat="1" ht="66" customHeight="1">
      <c r="A16" s="23" t="s">
        <v>44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4" t="s">
        <v>35</v>
      </c>
      <c r="M16" s="24"/>
      <c r="N16" s="24" t="s">
        <v>45</v>
      </c>
      <c r="O16" s="24"/>
      <c r="P16" s="25">
        <f>0</f>
        <v>0</v>
      </c>
      <c r="Q16" s="25"/>
      <c r="R16" s="25"/>
      <c r="S16" s="26" t="s">
        <v>39</v>
      </c>
      <c r="T16" s="26"/>
      <c r="U16" s="26"/>
      <c r="V16" s="26"/>
      <c r="W16" s="27" t="s">
        <v>39</v>
      </c>
      <c r="X16" s="27"/>
    </row>
    <row r="17" spans="1:24" s="1" customFormat="1" ht="54.75" customHeight="1">
      <c r="A17" s="23" t="s">
        <v>46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4" t="s">
        <v>35</v>
      </c>
      <c r="M17" s="24"/>
      <c r="N17" s="24" t="s">
        <v>47</v>
      </c>
      <c r="O17" s="24"/>
      <c r="P17" s="25">
        <f>152000</f>
        <v>152000</v>
      </c>
      <c r="Q17" s="25"/>
      <c r="R17" s="25"/>
      <c r="S17" s="25">
        <f>72490.47</f>
        <v>72490.47</v>
      </c>
      <c r="T17" s="25"/>
      <c r="U17" s="25"/>
      <c r="V17" s="25"/>
      <c r="W17" s="28">
        <f>79509.53</f>
        <v>79509.53</v>
      </c>
      <c r="X17" s="28"/>
    </row>
    <row r="18" spans="1:24" s="1" customFormat="1" ht="66" customHeight="1">
      <c r="A18" s="23" t="s">
        <v>48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4" t="s">
        <v>35</v>
      </c>
      <c r="M18" s="24"/>
      <c r="N18" s="24" t="s">
        <v>49</v>
      </c>
      <c r="O18" s="24"/>
      <c r="P18" s="26" t="s">
        <v>39</v>
      </c>
      <c r="Q18" s="26"/>
      <c r="R18" s="26"/>
      <c r="S18" s="25">
        <f>-271.89</f>
        <v>-271.89</v>
      </c>
      <c r="T18" s="25"/>
      <c r="U18" s="25"/>
      <c r="V18" s="25"/>
      <c r="W18" s="27" t="s">
        <v>39</v>
      </c>
      <c r="X18" s="27"/>
    </row>
    <row r="19" spans="1:24" s="1" customFormat="1" ht="24" customHeight="1">
      <c r="A19" s="23" t="s">
        <v>50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4" t="s">
        <v>35</v>
      </c>
      <c r="M19" s="24"/>
      <c r="N19" s="24" t="s">
        <v>51</v>
      </c>
      <c r="O19" s="24"/>
      <c r="P19" s="26" t="s">
        <v>39</v>
      </c>
      <c r="Q19" s="26"/>
      <c r="R19" s="26"/>
      <c r="S19" s="25">
        <f>8789.9</f>
        <v>8789.9</v>
      </c>
      <c r="T19" s="25"/>
      <c r="U19" s="25"/>
      <c r="V19" s="25"/>
      <c r="W19" s="27" t="s">
        <v>39</v>
      </c>
      <c r="X19" s="27"/>
    </row>
    <row r="20" spans="1:24" s="1" customFormat="1" ht="33.75" customHeight="1">
      <c r="A20" s="23" t="s">
        <v>52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4" t="s">
        <v>35</v>
      </c>
      <c r="M20" s="24"/>
      <c r="N20" s="24" t="s">
        <v>53</v>
      </c>
      <c r="O20" s="24"/>
      <c r="P20" s="26" t="s">
        <v>39</v>
      </c>
      <c r="Q20" s="26"/>
      <c r="R20" s="26"/>
      <c r="S20" s="25">
        <f>0.02</f>
        <v>0.02</v>
      </c>
      <c r="T20" s="25"/>
      <c r="U20" s="25"/>
      <c r="V20" s="25"/>
      <c r="W20" s="27" t="s">
        <v>39</v>
      </c>
      <c r="X20" s="27"/>
    </row>
    <row r="21" spans="1:24" s="1" customFormat="1" ht="66" customHeight="1">
      <c r="A21" s="23" t="s">
        <v>37</v>
      </c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4" t="s">
        <v>35</v>
      </c>
      <c r="M21" s="24"/>
      <c r="N21" s="24" t="s">
        <v>54</v>
      </c>
      <c r="O21" s="24"/>
      <c r="P21" s="25">
        <f>1875000</f>
        <v>1875000</v>
      </c>
      <c r="Q21" s="25"/>
      <c r="R21" s="25"/>
      <c r="S21" s="25">
        <f>1312317.84</f>
        <v>1312317.84</v>
      </c>
      <c r="T21" s="25"/>
      <c r="U21" s="25"/>
      <c r="V21" s="25"/>
      <c r="W21" s="28">
        <f>562682.16</f>
        <v>562682.16</v>
      </c>
      <c r="X21" s="28"/>
    </row>
    <row r="22" spans="1:24" s="1" customFormat="1" ht="75.75" customHeight="1">
      <c r="A22" s="23" t="s">
        <v>40</v>
      </c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4" t="s">
        <v>35</v>
      </c>
      <c r="M22" s="24"/>
      <c r="N22" s="24" t="s">
        <v>55</v>
      </c>
      <c r="O22" s="24"/>
      <c r="P22" s="25">
        <f>10000</f>
        <v>10000</v>
      </c>
      <c r="Q22" s="25"/>
      <c r="R22" s="25"/>
      <c r="S22" s="25">
        <f>7043.84</f>
        <v>7043.84</v>
      </c>
      <c r="T22" s="25"/>
      <c r="U22" s="25"/>
      <c r="V22" s="25"/>
      <c r="W22" s="28">
        <f>2956.16</f>
        <v>2956.16</v>
      </c>
      <c r="X22" s="28"/>
    </row>
    <row r="23" spans="1:24" s="1" customFormat="1" ht="66" customHeight="1">
      <c r="A23" s="23" t="s">
        <v>42</v>
      </c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4" t="s">
        <v>35</v>
      </c>
      <c r="M23" s="24"/>
      <c r="N23" s="24" t="s">
        <v>56</v>
      </c>
      <c r="O23" s="24"/>
      <c r="P23" s="25">
        <f>2290000</f>
        <v>2290000</v>
      </c>
      <c r="Q23" s="25"/>
      <c r="R23" s="25"/>
      <c r="S23" s="25">
        <f>1392318.05</f>
        <v>1392318.05</v>
      </c>
      <c r="T23" s="25"/>
      <c r="U23" s="25"/>
      <c r="V23" s="25"/>
      <c r="W23" s="28">
        <f>897681.95</f>
        <v>897681.95</v>
      </c>
      <c r="X23" s="28"/>
    </row>
    <row r="24" spans="1:24" s="1" customFormat="1" ht="66" customHeight="1">
      <c r="A24" s="23" t="s">
        <v>44</v>
      </c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4" t="s">
        <v>35</v>
      </c>
      <c r="M24" s="24"/>
      <c r="N24" s="24" t="s">
        <v>57</v>
      </c>
      <c r="O24" s="24"/>
      <c r="P24" s="25">
        <f>-200000</f>
        <v>-200000</v>
      </c>
      <c r="Q24" s="25"/>
      <c r="R24" s="25"/>
      <c r="S24" s="25">
        <f>-158140.3</f>
        <v>-158140.3</v>
      </c>
      <c r="T24" s="25"/>
      <c r="U24" s="25"/>
      <c r="V24" s="25"/>
      <c r="W24" s="28">
        <f>-41859.7</f>
        <v>-41859.7</v>
      </c>
      <c r="X24" s="28"/>
    </row>
    <row r="25" spans="1:24" s="1" customFormat="1" ht="13.5" customHeight="1">
      <c r="A25" s="23" t="s">
        <v>58</v>
      </c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4" t="s">
        <v>35</v>
      </c>
      <c r="M25" s="24"/>
      <c r="N25" s="24" t="s">
        <v>59</v>
      </c>
      <c r="O25" s="24"/>
      <c r="P25" s="25">
        <f>10000</f>
        <v>10000</v>
      </c>
      <c r="Q25" s="25"/>
      <c r="R25" s="25"/>
      <c r="S25" s="25">
        <f>57017.3</f>
        <v>57017.3</v>
      </c>
      <c r="T25" s="25"/>
      <c r="U25" s="25"/>
      <c r="V25" s="25"/>
      <c r="W25" s="27" t="s">
        <v>39</v>
      </c>
      <c r="X25" s="27"/>
    </row>
    <row r="26" spans="1:24" s="1" customFormat="1" ht="24" customHeight="1">
      <c r="A26" s="23" t="s">
        <v>60</v>
      </c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4" t="s">
        <v>35</v>
      </c>
      <c r="M26" s="24"/>
      <c r="N26" s="24" t="s">
        <v>61</v>
      </c>
      <c r="O26" s="24"/>
      <c r="P26" s="25">
        <f>229000</f>
        <v>229000</v>
      </c>
      <c r="Q26" s="25"/>
      <c r="R26" s="25"/>
      <c r="S26" s="25">
        <f>61679.53</f>
        <v>61679.53</v>
      </c>
      <c r="T26" s="25"/>
      <c r="U26" s="25"/>
      <c r="V26" s="25"/>
      <c r="W26" s="28">
        <f>167320.47</f>
        <v>167320.47</v>
      </c>
      <c r="X26" s="28"/>
    </row>
    <row r="27" spans="1:24" s="1" customFormat="1" ht="24" customHeight="1">
      <c r="A27" s="23" t="s">
        <v>62</v>
      </c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4" t="s">
        <v>35</v>
      </c>
      <c r="M27" s="24"/>
      <c r="N27" s="24" t="s">
        <v>63</v>
      </c>
      <c r="O27" s="24"/>
      <c r="P27" s="25">
        <f>2200000</f>
        <v>2200000</v>
      </c>
      <c r="Q27" s="25"/>
      <c r="R27" s="25"/>
      <c r="S27" s="25">
        <f>620748.3</f>
        <v>620748.3</v>
      </c>
      <c r="T27" s="25"/>
      <c r="U27" s="25"/>
      <c r="V27" s="25"/>
      <c r="W27" s="28">
        <f>1579251.7</f>
        <v>1579251.7</v>
      </c>
      <c r="X27" s="28"/>
    </row>
    <row r="28" spans="1:24" s="1" customFormat="1" ht="24" customHeight="1">
      <c r="A28" s="23" t="s">
        <v>64</v>
      </c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4" t="s">
        <v>35</v>
      </c>
      <c r="M28" s="24"/>
      <c r="N28" s="24" t="s">
        <v>65</v>
      </c>
      <c r="O28" s="24"/>
      <c r="P28" s="25">
        <f>2020000</f>
        <v>2020000</v>
      </c>
      <c r="Q28" s="25"/>
      <c r="R28" s="25"/>
      <c r="S28" s="25">
        <f>175558.41</f>
        <v>175558.41</v>
      </c>
      <c r="T28" s="25"/>
      <c r="U28" s="25"/>
      <c r="V28" s="25"/>
      <c r="W28" s="28">
        <f>1844441.59</f>
        <v>1844441.59</v>
      </c>
      <c r="X28" s="28"/>
    </row>
    <row r="29" spans="1:24" s="1" customFormat="1" ht="45" customHeight="1">
      <c r="A29" s="23" t="s">
        <v>66</v>
      </c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4" t="s">
        <v>35</v>
      </c>
      <c r="M29" s="24"/>
      <c r="N29" s="24" t="s">
        <v>67</v>
      </c>
      <c r="O29" s="24"/>
      <c r="P29" s="25">
        <f>0</f>
        <v>0</v>
      </c>
      <c r="Q29" s="25"/>
      <c r="R29" s="25"/>
      <c r="S29" s="26" t="s">
        <v>39</v>
      </c>
      <c r="T29" s="26"/>
      <c r="U29" s="26"/>
      <c r="V29" s="26"/>
      <c r="W29" s="27" t="s">
        <v>39</v>
      </c>
      <c r="X29" s="27"/>
    </row>
    <row r="30" spans="1:24" s="1" customFormat="1" ht="54.75" customHeight="1">
      <c r="A30" s="23" t="s">
        <v>68</v>
      </c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4" t="s">
        <v>35</v>
      </c>
      <c r="M30" s="24"/>
      <c r="N30" s="24" t="s">
        <v>69</v>
      </c>
      <c r="O30" s="24"/>
      <c r="P30" s="26" t="s">
        <v>39</v>
      </c>
      <c r="Q30" s="26"/>
      <c r="R30" s="26"/>
      <c r="S30" s="25">
        <f>0</f>
        <v>0</v>
      </c>
      <c r="T30" s="25"/>
      <c r="U30" s="25"/>
      <c r="V30" s="25"/>
      <c r="W30" s="27" t="s">
        <v>39</v>
      </c>
      <c r="X30" s="27"/>
    </row>
    <row r="31" spans="1:24" s="1" customFormat="1" ht="45" customHeight="1">
      <c r="A31" s="23" t="s">
        <v>66</v>
      </c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4" t="s">
        <v>35</v>
      </c>
      <c r="M31" s="24"/>
      <c r="N31" s="24" t="s">
        <v>70</v>
      </c>
      <c r="O31" s="24"/>
      <c r="P31" s="25">
        <f>5000</f>
        <v>5000</v>
      </c>
      <c r="Q31" s="25"/>
      <c r="R31" s="25"/>
      <c r="S31" s="25">
        <f>1900</f>
        <v>1900</v>
      </c>
      <c r="T31" s="25"/>
      <c r="U31" s="25"/>
      <c r="V31" s="25"/>
      <c r="W31" s="28">
        <f>3100</f>
        <v>3100</v>
      </c>
      <c r="X31" s="28"/>
    </row>
    <row r="32" spans="1:24" s="1" customFormat="1" ht="45" customHeight="1">
      <c r="A32" s="23" t="s">
        <v>71</v>
      </c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4" t="s">
        <v>35</v>
      </c>
      <c r="M32" s="24"/>
      <c r="N32" s="24" t="s">
        <v>72</v>
      </c>
      <c r="O32" s="24"/>
      <c r="P32" s="25">
        <f>50000</f>
        <v>50000</v>
      </c>
      <c r="Q32" s="25"/>
      <c r="R32" s="25"/>
      <c r="S32" s="25">
        <f>34419.46</f>
        <v>34419.46</v>
      </c>
      <c r="T32" s="25"/>
      <c r="U32" s="25"/>
      <c r="V32" s="25"/>
      <c r="W32" s="28">
        <f>15580.54</f>
        <v>15580.54</v>
      </c>
      <c r="X32" s="28"/>
    </row>
    <row r="33" spans="1:24" s="1" customFormat="1" ht="45" customHeight="1">
      <c r="A33" s="23" t="s">
        <v>73</v>
      </c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4" t="s">
        <v>35</v>
      </c>
      <c r="M33" s="24"/>
      <c r="N33" s="24" t="s">
        <v>74</v>
      </c>
      <c r="O33" s="24"/>
      <c r="P33" s="25">
        <f>15000</f>
        <v>15000</v>
      </c>
      <c r="Q33" s="25"/>
      <c r="R33" s="25"/>
      <c r="S33" s="25">
        <f>28054.73</f>
        <v>28054.73</v>
      </c>
      <c r="T33" s="25"/>
      <c r="U33" s="25"/>
      <c r="V33" s="25"/>
      <c r="W33" s="27" t="s">
        <v>39</v>
      </c>
      <c r="X33" s="27"/>
    </row>
    <row r="34" spans="1:24" s="1" customFormat="1" ht="13.5" customHeight="1">
      <c r="A34" s="23" t="s">
        <v>75</v>
      </c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4" t="s">
        <v>35</v>
      </c>
      <c r="M34" s="24"/>
      <c r="N34" s="24" t="s">
        <v>76</v>
      </c>
      <c r="O34" s="24"/>
      <c r="P34" s="25">
        <f>50000</f>
        <v>50000</v>
      </c>
      <c r="Q34" s="25"/>
      <c r="R34" s="25"/>
      <c r="S34" s="25">
        <f>81372.11</f>
        <v>81372.11</v>
      </c>
      <c r="T34" s="25"/>
      <c r="U34" s="25"/>
      <c r="V34" s="25"/>
      <c r="W34" s="27" t="s">
        <v>39</v>
      </c>
      <c r="X34" s="27"/>
    </row>
    <row r="35" spans="1:24" s="1" customFormat="1" ht="54.75" customHeight="1">
      <c r="A35" s="23" t="s">
        <v>77</v>
      </c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4" t="s">
        <v>35</v>
      </c>
      <c r="M35" s="24"/>
      <c r="N35" s="24" t="s">
        <v>78</v>
      </c>
      <c r="O35" s="24"/>
      <c r="P35" s="25">
        <f>597200</f>
        <v>597200</v>
      </c>
      <c r="Q35" s="25"/>
      <c r="R35" s="25"/>
      <c r="S35" s="25">
        <f>669700</f>
        <v>669700</v>
      </c>
      <c r="T35" s="25"/>
      <c r="U35" s="25"/>
      <c r="V35" s="25"/>
      <c r="W35" s="27" t="s">
        <v>39</v>
      </c>
      <c r="X35" s="27"/>
    </row>
    <row r="36" spans="1:24" s="1" customFormat="1" ht="33.75" customHeight="1">
      <c r="A36" s="23" t="s">
        <v>79</v>
      </c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4" t="s">
        <v>35</v>
      </c>
      <c r="M36" s="24"/>
      <c r="N36" s="24" t="s">
        <v>80</v>
      </c>
      <c r="O36" s="24"/>
      <c r="P36" s="25">
        <f>100000</f>
        <v>100000</v>
      </c>
      <c r="Q36" s="25"/>
      <c r="R36" s="25"/>
      <c r="S36" s="25">
        <f>336250</f>
        <v>336250</v>
      </c>
      <c r="T36" s="25"/>
      <c r="U36" s="25"/>
      <c r="V36" s="25"/>
      <c r="W36" s="27" t="s">
        <v>39</v>
      </c>
      <c r="X36" s="27"/>
    </row>
    <row r="37" spans="1:24" s="1" customFormat="1" ht="45" customHeight="1">
      <c r="A37" s="23" t="s">
        <v>81</v>
      </c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4" t="s">
        <v>35</v>
      </c>
      <c r="M37" s="24"/>
      <c r="N37" s="24" t="s">
        <v>82</v>
      </c>
      <c r="O37" s="24"/>
      <c r="P37" s="26" t="s">
        <v>39</v>
      </c>
      <c r="Q37" s="26"/>
      <c r="R37" s="26"/>
      <c r="S37" s="25">
        <f>1079.5</f>
        <v>1079.5</v>
      </c>
      <c r="T37" s="25"/>
      <c r="U37" s="25"/>
      <c r="V37" s="25"/>
      <c r="W37" s="27" t="s">
        <v>39</v>
      </c>
      <c r="X37" s="27"/>
    </row>
    <row r="38" spans="1:24" s="1" customFormat="1" ht="33.75" customHeight="1">
      <c r="A38" s="23" t="s">
        <v>83</v>
      </c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4" t="s">
        <v>35</v>
      </c>
      <c r="M38" s="24"/>
      <c r="N38" s="24" t="s">
        <v>84</v>
      </c>
      <c r="O38" s="24"/>
      <c r="P38" s="26" t="s">
        <v>39</v>
      </c>
      <c r="Q38" s="26"/>
      <c r="R38" s="26"/>
      <c r="S38" s="25">
        <f>18600</f>
        <v>18600</v>
      </c>
      <c r="T38" s="25"/>
      <c r="U38" s="25"/>
      <c r="V38" s="25"/>
      <c r="W38" s="27" t="s">
        <v>39</v>
      </c>
      <c r="X38" s="27"/>
    </row>
    <row r="39" spans="1:24" s="1" customFormat="1" ht="13.5" customHeight="1">
      <c r="A39" s="23" t="s">
        <v>85</v>
      </c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4" t="s">
        <v>35</v>
      </c>
      <c r="M39" s="24"/>
      <c r="N39" s="24" t="s">
        <v>86</v>
      </c>
      <c r="O39" s="24"/>
      <c r="P39" s="26" t="s">
        <v>39</v>
      </c>
      <c r="Q39" s="26"/>
      <c r="R39" s="26"/>
      <c r="S39" s="25">
        <f>0</f>
        <v>0</v>
      </c>
      <c r="T39" s="25"/>
      <c r="U39" s="25"/>
      <c r="V39" s="25"/>
      <c r="W39" s="27" t="s">
        <v>39</v>
      </c>
      <c r="X39" s="27"/>
    </row>
    <row r="40" spans="1:24" s="1" customFormat="1" ht="24" customHeight="1">
      <c r="A40" s="23" t="s">
        <v>87</v>
      </c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4" t="s">
        <v>35</v>
      </c>
      <c r="M40" s="24"/>
      <c r="N40" s="24" t="s">
        <v>88</v>
      </c>
      <c r="O40" s="24"/>
      <c r="P40" s="25">
        <f>7671500</f>
        <v>7671500</v>
      </c>
      <c r="Q40" s="25"/>
      <c r="R40" s="25"/>
      <c r="S40" s="25">
        <f>6336750</f>
        <v>6336750</v>
      </c>
      <c r="T40" s="25"/>
      <c r="U40" s="25"/>
      <c r="V40" s="25"/>
      <c r="W40" s="28">
        <f>1334750</f>
        <v>1334750</v>
      </c>
      <c r="X40" s="28"/>
    </row>
    <row r="41" spans="1:24" s="1" customFormat="1" ht="45" customHeight="1">
      <c r="A41" s="23" t="s">
        <v>89</v>
      </c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4" t="s">
        <v>35</v>
      </c>
      <c r="M41" s="24"/>
      <c r="N41" s="24" t="s">
        <v>90</v>
      </c>
      <c r="O41" s="24"/>
      <c r="P41" s="25">
        <f>5356216</f>
        <v>5356216</v>
      </c>
      <c r="Q41" s="25"/>
      <c r="R41" s="25"/>
      <c r="S41" s="26" t="s">
        <v>39</v>
      </c>
      <c r="T41" s="26"/>
      <c r="U41" s="26"/>
      <c r="V41" s="26"/>
      <c r="W41" s="28">
        <f>5356216</f>
        <v>5356216</v>
      </c>
      <c r="X41" s="28"/>
    </row>
    <row r="42" spans="1:24" s="1" customFormat="1" ht="13.5" customHeight="1">
      <c r="A42" s="23" t="s">
        <v>91</v>
      </c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4" t="s">
        <v>35</v>
      </c>
      <c r="M42" s="24"/>
      <c r="N42" s="24" t="s">
        <v>92</v>
      </c>
      <c r="O42" s="24"/>
      <c r="P42" s="25">
        <f>61301</f>
        <v>61301</v>
      </c>
      <c r="Q42" s="25"/>
      <c r="R42" s="25"/>
      <c r="S42" s="25">
        <f>30650.5</f>
        <v>30650.5</v>
      </c>
      <c r="T42" s="25"/>
      <c r="U42" s="25"/>
      <c r="V42" s="25"/>
      <c r="W42" s="28">
        <f>30650.5</f>
        <v>30650.5</v>
      </c>
      <c r="X42" s="28"/>
    </row>
    <row r="43" spans="1:24" s="1" customFormat="1" ht="33.75" customHeight="1">
      <c r="A43" s="23" t="s">
        <v>93</v>
      </c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4" t="s">
        <v>35</v>
      </c>
      <c r="M43" s="24"/>
      <c r="N43" s="24" t="s">
        <v>94</v>
      </c>
      <c r="O43" s="24"/>
      <c r="P43" s="25">
        <f>293942</f>
        <v>293942</v>
      </c>
      <c r="Q43" s="25"/>
      <c r="R43" s="25"/>
      <c r="S43" s="25">
        <f>134284.39</f>
        <v>134284.39</v>
      </c>
      <c r="T43" s="25"/>
      <c r="U43" s="25"/>
      <c r="V43" s="25"/>
      <c r="W43" s="28">
        <f>159657.61</f>
        <v>159657.61</v>
      </c>
      <c r="X43" s="28"/>
    </row>
    <row r="44" spans="1:24" s="1" customFormat="1" ht="45" customHeight="1">
      <c r="A44" s="23" t="s">
        <v>95</v>
      </c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4" t="s">
        <v>35</v>
      </c>
      <c r="M44" s="24"/>
      <c r="N44" s="24" t="s">
        <v>96</v>
      </c>
      <c r="O44" s="24"/>
      <c r="P44" s="25">
        <f>4069611.13</f>
        <v>4069611.13</v>
      </c>
      <c r="Q44" s="25"/>
      <c r="R44" s="25"/>
      <c r="S44" s="25">
        <f>2452522.02</f>
        <v>2452522.02</v>
      </c>
      <c r="T44" s="25"/>
      <c r="U44" s="25"/>
      <c r="V44" s="25"/>
      <c r="W44" s="28">
        <f>1617089.11</f>
        <v>1617089.11</v>
      </c>
      <c r="X44" s="28"/>
    </row>
    <row r="45" spans="1:24" s="1" customFormat="1" ht="24" customHeight="1">
      <c r="A45" s="23" t="s">
        <v>97</v>
      </c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4" t="s">
        <v>35</v>
      </c>
      <c r="M45" s="24"/>
      <c r="N45" s="24" t="s">
        <v>98</v>
      </c>
      <c r="O45" s="24"/>
      <c r="P45" s="25">
        <f>1500000</f>
        <v>1500000</v>
      </c>
      <c r="Q45" s="25"/>
      <c r="R45" s="25"/>
      <c r="S45" s="25">
        <f>1497487.4</f>
        <v>1497487.4</v>
      </c>
      <c r="T45" s="25"/>
      <c r="U45" s="25"/>
      <c r="V45" s="25"/>
      <c r="W45" s="28">
        <f>2512.6</f>
        <v>2512.6</v>
      </c>
      <c r="X45" s="28"/>
    </row>
    <row r="46" spans="1:24" s="1" customFormat="1" ht="13.5" customHeight="1">
      <c r="A46" s="29" t="s">
        <v>10</v>
      </c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</row>
    <row r="47" spans="1:24" s="1" customFormat="1" ht="13.5" customHeight="1">
      <c r="A47" s="12" t="s">
        <v>99</v>
      </c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</row>
    <row r="48" spans="1:24" s="1" customFormat="1" ht="34.5" customHeight="1">
      <c r="A48" s="13" t="s">
        <v>22</v>
      </c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 t="s">
        <v>23</v>
      </c>
      <c r="M48" s="13"/>
      <c r="N48" s="13" t="s">
        <v>100</v>
      </c>
      <c r="O48" s="13"/>
      <c r="P48" s="14" t="s">
        <v>25</v>
      </c>
      <c r="Q48" s="14"/>
      <c r="R48" s="14"/>
      <c r="S48" s="14" t="s">
        <v>26</v>
      </c>
      <c r="T48" s="14"/>
      <c r="U48" s="14"/>
      <c r="V48" s="14"/>
      <c r="W48" s="15" t="s">
        <v>27</v>
      </c>
      <c r="X48" s="15"/>
    </row>
    <row r="49" spans="1:24" s="1" customFormat="1" ht="13.5" customHeight="1">
      <c r="A49" s="16" t="s">
        <v>28</v>
      </c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 t="s">
        <v>29</v>
      </c>
      <c r="M49" s="16"/>
      <c r="N49" s="16" t="s">
        <v>30</v>
      </c>
      <c r="O49" s="16"/>
      <c r="P49" s="17" t="s">
        <v>31</v>
      </c>
      <c r="Q49" s="17"/>
      <c r="R49" s="17"/>
      <c r="S49" s="17" t="s">
        <v>32</v>
      </c>
      <c r="T49" s="17"/>
      <c r="U49" s="17"/>
      <c r="V49" s="17"/>
      <c r="W49" s="18" t="s">
        <v>33</v>
      </c>
      <c r="X49" s="18"/>
    </row>
    <row r="50" spans="1:24" s="1" customFormat="1" ht="13.5" customHeight="1">
      <c r="A50" s="19" t="s">
        <v>101</v>
      </c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20" t="s">
        <v>102</v>
      </c>
      <c r="M50" s="20"/>
      <c r="N50" s="20" t="s">
        <v>36</v>
      </c>
      <c r="O50" s="20"/>
      <c r="P50" s="21">
        <f>34020074.92</f>
        <v>34020074.92</v>
      </c>
      <c r="Q50" s="21"/>
      <c r="R50" s="21"/>
      <c r="S50" s="21">
        <f>12419290.04</f>
        <v>12419290.04</v>
      </c>
      <c r="T50" s="21"/>
      <c r="U50" s="21"/>
      <c r="V50" s="21"/>
      <c r="W50" s="22">
        <f>21600784.88</f>
        <v>21600784.88</v>
      </c>
      <c r="X50" s="22"/>
    </row>
    <row r="51" spans="1:24" s="1" customFormat="1" ht="13.5" customHeight="1">
      <c r="A51" s="30" t="s">
        <v>103</v>
      </c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1" t="s">
        <v>102</v>
      </c>
      <c r="M51" s="31"/>
      <c r="N51" s="31" t="s">
        <v>104</v>
      </c>
      <c r="O51" s="31"/>
      <c r="P51" s="32">
        <f>704000</f>
        <v>704000</v>
      </c>
      <c r="Q51" s="32"/>
      <c r="R51" s="32"/>
      <c r="S51" s="32">
        <f>580578.02</f>
        <v>580578.02</v>
      </c>
      <c r="T51" s="32"/>
      <c r="U51" s="32"/>
      <c r="V51" s="32"/>
      <c r="W51" s="33">
        <f>123421.98</f>
        <v>123421.98</v>
      </c>
      <c r="X51" s="33"/>
    </row>
    <row r="52" spans="1:24" s="1" customFormat="1" ht="33.75" customHeight="1">
      <c r="A52" s="30" t="s">
        <v>105</v>
      </c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1" t="s">
        <v>102</v>
      </c>
      <c r="M52" s="31"/>
      <c r="N52" s="31" t="s">
        <v>106</v>
      </c>
      <c r="O52" s="31"/>
      <c r="P52" s="32">
        <f>196300</f>
        <v>196300</v>
      </c>
      <c r="Q52" s="32"/>
      <c r="R52" s="32"/>
      <c r="S52" s="32">
        <f>136356.75</f>
        <v>136356.75</v>
      </c>
      <c r="T52" s="32"/>
      <c r="U52" s="32"/>
      <c r="V52" s="32"/>
      <c r="W52" s="33">
        <f>59943.25</f>
        <v>59943.25</v>
      </c>
      <c r="X52" s="33"/>
    </row>
    <row r="53" spans="1:24" s="1" customFormat="1" ht="13.5" customHeight="1">
      <c r="A53" s="30" t="s">
        <v>103</v>
      </c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1" t="s">
        <v>102</v>
      </c>
      <c r="M53" s="31"/>
      <c r="N53" s="31" t="s">
        <v>107</v>
      </c>
      <c r="O53" s="31"/>
      <c r="P53" s="32">
        <f>3548000</f>
        <v>3548000</v>
      </c>
      <c r="Q53" s="32"/>
      <c r="R53" s="32"/>
      <c r="S53" s="32">
        <f>1728650.08</f>
        <v>1728650.08</v>
      </c>
      <c r="T53" s="32"/>
      <c r="U53" s="32"/>
      <c r="V53" s="32"/>
      <c r="W53" s="33">
        <f>1819349.92</f>
        <v>1819349.92</v>
      </c>
      <c r="X53" s="33"/>
    </row>
    <row r="54" spans="1:24" s="1" customFormat="1" ht="24" customHeight="1">
      <c r="A54" s="30" t="s">
        <v>108</v>
      </c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1" t="s">
        <v>102</v>
      </c>
      <c r="M54" s="31"/>
      <c r="N54" s="31" t="s">
        <v>109</v>
      </c>
      <c r="O54" s="31"/>
      <c r="P54" s="32">
        <f>1000</f>
        <v>1000</v>
      </c>
      <c r="Q54" s="32"/>
      <c r="R54" s="32"/>
      <c r="S54" s="34" t="s">
        <v>39</v>
      </c>
      <c r="T54" s="34"/>
      <c r="U54" s="34"/>
      <c r="V54" s="34"/>
      <c r="W54" s="33">
        <f>1000</f>
        <v>1000</v>
      </c>
      <c r="X54" s="33"/>
    </row>
    <row r="55" spans="1:24" s="1" customFormat="1" ht="33.75" customHeight="1">
      <c r="A55" s="30" t="s">
        <v>105</v>
      </c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1" t="s">
        <v>102</v>
      </c>
      <c r="M55" s="31"/>
      <c r="N55" s="31" t="s">
        <v>110</v>
      </c>
      <c r="O55" s="31"/>
      <c r="P55" s="32">
        <f>1045752</f>
        <v>1045752</v>
      </c>
      <c r="Q55" s="32"/>
      <c r="R55" s="32"/>
      <c r="S55" s="32">
        <f>460410.87</f>
        <v>460410.87</v>
      </c>
      <c r="T55" s="32"/>
      <c r="U55" s="32"/>
      <c r="V55" s="32"/>
      <c r="W55" s="33">
        <f>585341.13</f>
        <v>585341.13</v>
      </c>
      <c r="X55" s="33"/>
    </row>
    <row r="56" spans="1:24" s="1" customFormat="1" ht="13.5" customHeight="1">
      <c r="A56" s="30" t="s">
        <v>111</v>
      </c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31" t="s">
        <v>102</v>
      </c>
      <c r="M56" s="31"/>
      <c r="N56" s="31" t="s">
        <v>112</v>
      </c>
      <c r="O56" s="31"/>
      <c r="P56" s="32">
        <f>340625</f>
        <v>340625</v>
      </c>
      <c r="Q56" s="32"/>
      <c r="R56" s="32"/>
      <c r="S56" s="32">
        <f>190166.71</f>
        <v>190166.71</v>
      </c>
      <c r="T56" s="32"/>
      <c r="U56" s="32"/>
      <c r="V56" s="32"/>
      <c r="W56" s="33">
        <f>150458.29</f>
        <v>150458.29</v>
      </c>
      <c r="X56" s="33"/>
    </row>
    <row r="57" spans="1:24" s="1" customFormat="1" ht="13.5" customHeight="1">
      <c r="A57" s="30" t="s">
        <v>113</v>
      </c>
      <c r="B57" s="30"/>
      <c r="C57" s="30"/>
      <c r="D57" s="30"/>
      <c r="E57" s="30"/>
      <c r="F57" s="30"/>
      <c r="G57" s="30"/>
      <c r="H57" s="30"/>
      <c r="I57" s="30"/>
      <c r="J57" s="30"/>
      <c r="K57" s="30"/>
      <c r="L57" s="31" t="s">
        <v>102</v>
      </c>
      <c r="M57" s="31"/>
      <c r="N57" s="31" t="s">
        <v>114</v>
      </c>
      <c r="O57" s="31"/>
      <c r="P57" s="32">
        <f>180000</f>
        <v>180000</v>
      </c>
      <c r="Q57" s="32"/>
      <c r="R57" s="32"/>
      <c r="S57" s="32">
        <f>109367.23</f>
        <v>109367.23</v>
      </c>
      <c r="T57" s="32"/>
      <c r="U57" s="32"/>
      <c r="V57" s="32"/>
      <c r="W57" s="33">
        <f>70632.77</f>
        <v>70632.77</v>
      </c>
      <c r="X57" s="33"/>
    </row>
    <row r="58" spans="1:24" s="1" customFormat="1" ht="13.5" customHeight="1">
      <c r="A58" s="30" t="s">
        <v>115</v>
      </c>
      <c r="B58" s="30"/>
      <c r="C58" s="30"/>
      <c r="D58" s="30"/>
      <c r="E58" s="30"/>
      <c r="F58" s="30"/>
      <c r="G58" s="30"/>
      <c r="H58" s="30"/>
      <c r="I58" s="30"/>
      <c r="J58" s="30"/>
      <c r="K58" s="30"/>
      <c r="L58" s="31" t="s">
        <v>102</v>
      </c>
      <c r="M58" s="31"/>
      <c r="N58" s="31" t="s">
        <v>116</v>
      </c>
      <c r="O58" s="31"/>
      <c r="P58" s="32">
        <f>6000</f>
        <v>6000</v>
      </c>
      <c r="Q58" s="32"/>
      <c r="R58" s="32"/>
      <c r="S58" s="32">
        <f>2991</f>
        <v>2991</v>
      </c>
      <c r="T58" s="32"/>
      <c r="U58" s="32"/>
      <c r="V58" s="32"/>
      <c r="W58" s="33">
        <f>3009</f>
        <v>3009</v>
      </c>
      <c r="X58" s="33"/>
    </row>
    <row r="59" spans="1:24" s="1" customFormat="1" ht="13.5" customHeight="1">
      <c r="A59" s="30" t="s">
        <v>117</v>
      </c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1" t="s">
        <v>102</v>
      </c>
      <c r="M59" s="31"/>
      <c r="N59" s="31" t="s">
        <v>118</v>
      </c>
      <c r="O59" s="31"/>
      <c r="P59" s="32">
        <f>8000</f>
        <v>8000</v>
      </c>
      <c r="Q59" s="32"/>
      <c r="R59" s="32"/>
      <c r="S59" s="32">
        <f>3984</f>
        <v>3984</v>
      </c>
      <c r="T59" s="32"/>
      <c r="U59" s="32"/>
      <c r="V59" s="32"/>
      <c r="W59" s="33">
        <f>4016</f>
        <v>4016</v>
      </c>
      <c r="X59" s="33"/>
    </row>
    <row r="60" spans="1:24" s="1" customFormat="1" ht="13.5" customHeight="1">
      <c r="A60" s="30" t="s">
        <v>119</v>
      </c>
      <c r="B60" s="30"/>
      <c r="C60" s="30"/>
      <c r="D60" s="30"/>
      <c r="E60" s="30"/>
      <c r="F60" s="30"/>
      <c r="G60" s="30"/>
      <c r="H60" s="30"/>
      <c r="I60" s="30"/>
      <c r="J60" s="30"/>
      <c r="K60" s="30"/>
      <c r="L60" s="31" t="s">
        <v>102</v>
      </c>
      <c r="M60" s="31"/>
      <c r="N60" s="31" t="s">
        <v>120</v>
      </c>
      <c r="O60" s="31"/>
      <c r="P60" s="32">
        <f>1000</f>
        <v>1000</v>
      </c>
      <c r="Q60" s="32"/>
      <c r="R60" s="32"/>
      <c r="S60" s="32">
        <f>867.07</f>
        <v>867.07</v>
      </c>
      <c r="T60" s="32"/>
      <c r="U60" s="32"/>
      <c r="V60" s="32"/>
      <c r="W60" s="33">
        <f>132.93</f>
        <v>132.93</v>
      </c>
      <c r="X60" s="33"/>
    </row>
    <row r="61" spans="1:24" s="1" customFormat="1" ht="13.5" customHeight="1">
      <c r="A61" s="30" t="s">
        <v>121</v>
      </c>
      <c r="B61" s="30"/>
      <c r="C61" s="30"/>
      <c r="D61" s="30"/>
      <c r="E61" s="30"/>
      <c r="F61" s="30"/>
      <c r="G61" s="30"/>
      <c r="H61" s="30"/>
      <c r="I61" s="30"/>
      <c r="J61" s="30"/>
      <c r="K61" s="30"/>
      <c r="L61" s="31" t="s">
        <v>102</v>
      </c>
      <c r="M61" s="31"/>
      <c r="N61" s="31" t="s">
        <v>122</v>
      </c>
      <c r="O61" s="31"/>
      <c r="P61" s="32">
        <f>50000</f>
        <v>50000</v>
      </c>
      <c r="Q61" s="32"/>
      <c r="R61" s="32"/>
      <c r="S61" s="34" t="s">
        <v>39</v>
      </c>
      <c r="T61" s="34"/>
      <c r="U61" s="34"/>
      <c r="V61" s="34"/>
      <c r="W61" s="33">
        <f>50000</f>
        <v>50000</v>
      </c>
      <c r="X61" s="33"/>
    </row>
    <row r="62" spans="1:24" s="1" customFormat="1" ht="13.5" customHeight="1">
      <c r="A62" s="30" t="s">
        <v>111</v>
      </c>
      <c r="B62" s="30"/>
      <c r="C62" s="30"/>
      <c r="D62" s="30"/>
      <c r="E62" s="30"/>
      <c r="F62" s="30"/>
      <c r="G62" s="30"/>
      <c r="H62" s="30"/>
      <c r="I62" s="30"/>
      <c r="J62" s="30"/>
      <c r="K62" s="30"/>
      <c r="L62" s="31" t="s">
        <v>102</v>
      </c>
      <c r="M62" s="31"/>
      <c r="N62" s="31" t="s">
        <v>123</v>
      </c>
      <c r="O62" s="31"/>
      <c r="P62" s="32">
        <f>400000</f>
        <v>400000</v>
      </c>
      <c r="Q62" s="32"/>
      <c r="R62" s="32"/>
      <c r="S62" s="32">
        <f>164449.72</f>
        <v>164449.72</v>
      </c>
      <c r="T62" s="32"/>
      <c r="U62" s="32"/>
      <c r="V62" s="32"/>
      <c r="W62" s="33">
        <f>235550.28</f>
        <v>235550.28</v>
      </c>
      <c r="X62" s="33"/>
    </row>
    <row r="63" spans="1:24" s="1" customFormat="1" ht="13.5" customHeight="1">
      <c r="A63" s="30" t="s">
        <v>111</v>
      </c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1" t="s">
        <v>102</v>
      </c>
      <c r="M63" s="31"/>
      <c r="N63" s="31" t="s">
        <v>124</v>
      </c>
      <c r="O63" s="31"/>
      <c r="P63" s="32">
        <f>314187</f>
        <v>314187</v>
      </c>
      <c r="Q63" s="32"/>
      <c r="R63" s="32"/>
      <c r="S63" s="32">
        <f>237884.88</f>
        <v>237884.88</v>
      </c>
      <c r="T63" s="32"/>
      <c r="U63" s="32"/>
      <c r="V63" s="32"/>
      <c r="W63" s="33">
        <f>76302.12</f>
        <v>76302.12</v>
      </c>
      <c r="X63" s="33"/>
    </row>
    <row r="64" spans="1:24" s="1" customFormat="1" ht="13.5" customHeight="1">
      <c r="A64" s="30" t="s">
        <v>111</v>
      </c>
      <c r="B64" s="30"/>
      <c r="C64" s="30"/>
      <c r="D64" s="30"/>
      <c r="E64" s="30"/>
      <c r="F64" s="30"/>
      <c r="G64" s="30"/>
      <c r="H64" s="30"/>
      <c r="I64" s="30"/>
      <c r="J64" s="30"/>
      <c r="K64" s="30"/>
      <c r="L64" s="31" t="s">
        <v>102</v>
      </c>
      <c r="M64" s="31"/>
      <c r="N64" s="31" t="s">
        <v>125</v>
      </c>
      <c r="O64" s="31"/>
      <c r="P64" s="32">
        <f>150000</f>
        <v>150000</v>
      </c>
      <c r="Q64" s="32"/>
      <c r="R64" s="32"/>
      <c r="S64" s="32">
        <f>23500</f>
        <v>23500</v>
      </c>
      <c r="T64" s="32"/>
      <c r="U64" s="32"/>
      <c r="V64" s="32"/>
      <c r="W64" s="33">
        <f>126500</f>
        <v>126500</v>
      </c>
      <c r="X64" s="33"/>
    </row>
    <row r="65" spans="1:24" s="1" customFormat="1" ht="13.5" customHeight="1">
      <c r="A65" s="30" t="s">
        <v>126</v>
      </c>
      <c r="B65" s="30"/>
      <c r="C65" s="30"/>
      <c r="D65" s="30"/>
      <c r="E65" s="30"/>
      <c r="F65" s="30"/>
      <c r="G65" s="30"/>
      <c r="H65" s="30"/>
      <c r="I65" s="30"/>
      <c r="J65" s="30"/>
      <c r="K65" s="30"/>
      <c r="L65" s="31" t="s">
        <v>102</v>
      </c>
      <c r="M65" s="31"/>
      <c r="N65" s="31" t="s">
        <v>127</v>
      </c>
      <c r="O65" s="31"/>
      <c r="P65" s="32">
        <f>158113</f>
        <v>158113</v>
      </c>
      <c r="Q65" s="32"/>
      <c r="R65" s="32"/>
      <c r="S65" s="32">
        <f>85875</f>
        <v>85875</v>
      </c>
      <c r="T65" s="32"/>
      <c r="U65" s="32"/>
      <c r="V65" s="32"/>
      <c r="W65" s="33">
        <f>72238</f>
        <v>72238</v>
      </c>
      <c r="X65" s="33"/>
    </row>
    <row r="66" spans="1:24" s="1" customFormat="1" ht="13.5" customHeight="1">
      <c r="A66" s="30" t="s">
        <v>111</v>
      </c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1" t="s">
        <v>102</v>
      </c>
      <c r="M66" s="31"/>
      <c r="N66" s="31" t="s">
        <v>128</v>
      </c>
      <c r="O66" s="31"/>
      <c r="P66" s="32">
        <f>289024.17</f>
        <v>289024.17</v>
      </c>
      <c r="Q66" s="32"/>
      <c r="R66" s="32"/>
      <c r="S66" s="32">
        <f>113900.03</f>
        <v>113900.03</v>
      </c>
      <c r="T66" s="32"/>
      <c r="U66" s="32"/>
      <c r="V66" s="32"/>
      <c r="W66" s="33">
        <f>175124.14</f>
        <v>175124.14</v>
      </c>
      <c r="X66" s="33"/>
    </row>
    <row r="67" spans="1:24" s="1" customFormat="1" ht="13.5" customHeight="1">
      <c r="A67" s="30" t="s">
        <v>113</v>
      </c>
      <c r="B67" s="30"/>
      <c r="C67" s="30"/>
      <c r="D67" s="30"/>
      <c r="E67" s="30"/>
      <c r="F67" s="30"/>
      <c r="G67" s="30"/>
      <c r="H67" s="30"/>
      <c r="I67" s="30"/>
      <c r="J67" s="30"/>
      <c r="K67" s="30"/>
      <c r="L67" s="31" t="s">
        <v>102</v>
      </c>
      <c r="M67" s="31"/>
      <c r="N67" s="31" t="s">
        <v>129</v>
      </c>
      <c r="O67" s="31"/>
      <c r="P67" s="32">
        <f>33281.04</f>
        <v>33281.04</v>
      </c>
      <c r="Q67" s="32"/>
      <c r="R67" s="32"/>
      <c r="S67" s="32">
        <f>9468.54</f>
        <v>9468.54</v>
      </c>
      <c r="T67" s="32"/>
      <c r="U67" s="32"/>
      <c r="V67" s="32"/>
      <c r="W67" s="33">
        <f>23812.5</f>
        <v>23812.5</v>
      </c>
      <c r="X67" s="33"/>
    </row>
    <row r="68" spans="1:24" s="1" customFormat="1" ht="24" customHeight="1">
      <c r="A68" s="30" t="s">
        <v>130</v>
      </c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1" t="s">
        <v>102</v>
      </c>
      <c r="M68" s="31"/>
      <c r="N68" s="31" t="s">
        <v>131</v>
      </c>
      <c r="O68" s="31"/>
      <c r="P68" s="32">
        <f>42418.96</f>
        <v>42418.96</v>
      </c>
      <c r="Q68" s="32"/>
      <c r="R68" s="32"/>
      <c r="S68" s="32">
        <f>42418.96</f>
        <v>42418.96</v>
      </c>
      <c r="T68" s="32"/>
      <c r="U68" s="32"/>
      <c r="V68" s="32"/>
      <c r="W68" s="33">
        <f>0</f>
        <v>0</v>
      </c>
      <c r="X68" s="33"/>
    </row>
    <row r="69" spans="1:24" s="1" customFormat="1" ht="13.5" customHeight="1">
      <c r="A69" s="30" t="s">
        <v>117</v>
      </c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31" t="s">
        <v>102</v>
      </c>
      <c r="M69" s="31"/>
      <c r="N69" s="31" t="s">
        <v>132</v>
      </c>
      <c r="O69" s="31"/>
      <c r="P69" s="32">
        <f>37866.66</f>
        <v>37866.66</v>
      </c>
      <c r="Q69" s="32"/>
      <c r="R69" s="32"/>
      <c r="S69" s="32">
        <f>22033.33</f>
        <v>22033.33</v>
      </c>
      <c r="T69" s="32"/>
      <c r="U69" s="32"/>
      <c r="V69" s="32"/>
      <c r="W69" s="33">
        <f>15833.33</f>
        <v>15833.33</v>
      </c>
      <c r="X69" s="33"/>
    </row>
    <row r="70" spans="1:24" s="1" customFormat="1" ht="13.5" customHeight="1">
      <c r="A70" s="30" t="s">
        <v>119</v>
      </c>
      <c r="B70" s="30"/>
      <c r="C70" s="30"/>
      <c r="D70" s="30"/>
      <c r="E70" s="30"/>
      <c r="F70" s="30"/>
      <c r="G70" s="30"/>
      <c r="H70" s="30"/>
      <c r="I70" s="30"/>
      <c r="J70" s="30"/>
      <c r="K70" s="30"/>
      <c r="L70" s="31" t="s">
        <v>102</v>
      </c>
      <c r="M70" s="31"/>
      <c r="N70" s="31" t="s">
        <v>133</v>
      </c>
      <c r="O70" s="31"/>
      <c r="P70" s="32">
        <f>12266.67</f>
        <v>12266.67</v>
      </c>
      <c r="Q70" s="32"/>
      <c r="R70" s="32"/>
      <c r="S70" s="34" t="s">
        <v>39</v>
      </c>
      <c r="T70" s="34"/>
      <c r="U70" s="34"/>
      <c r="V70" s="34"/>
      <c r="W70" s="33">
        <f>12266.67</f>
        <v>12266.67</v>
      </c>
      <c r="X70" s="33"/>
    </row>
    <row r="71" spans="1:24" s="1" customFormat="1" ht="13.5" customHeight="1">
      <c r="A71" s="30" t="s">
        <v>103</v>
      </c>
      <c r="B71" s="30"/>
      <c r="C71" s="30"/>
      <c r="D71" s="30"/>
      <c r="E71" s="30"/>
      <c r="F71" s="30"/>
      <c r="G71" s="30"/>
      <c r="H71" s="30"/>
      <c r="I71" s="30"/>
      <c r="J71" s="30"/>
      <c r="K71" s="30"/>
      <c r="L71" s="31" t="s">
        <v>102</v>
      </c>
      <c r="M71" s="31"/>
      <c r="N71" s="31" t="s">
        <v>134</v>
      </c>
      <c r="O71" s="31"/>
      <c r="P71" s="32">
        <f>225756</f>
        <v>225756</v>
      </c>
      <c r="Q71" s="32"/>
      <c r="R71" s="32"/>
      <c r="S71" s="32">
        <f>103137</f>
        <v>103137</v>
      </c>
      <c r="T71" s="32"/>
      <c r="U71" s="32"/>
      <c r="V71" s="32"/>
      <c r="W71" s="33">
        <f>122619</f>
        <v>122619</v>
      </c>
      <c r="X71" s="33"/>
    </row>
    <row r="72" spans="1:24" s="1" customFormat="1" ht="33.75" customHeight="1">
      <c r="A72" s="30" t="s">
        <v>105</v>
      </c>
      <c r="B72" s="30"/>
      <c r="C72" s="30"/>
      <c r="D72" s="30"/>
      <c r="E72" s="30"/>
      <c r="F72" s="30"/>
      <c r="G72" s="30"/>
      <c r="H72" s="30"/>
      <c r="I72" s="30"/>
      <c r="J72" s="30"/>
      <c r="K72" s="30"/>
      <c r="L72" s="31" t="s">
        <v>102</v>
      </c>
      <c r="M72" s="31"/>
      <c r="N72" s="31" t="s">
        <v>135</v>
      </c>
      <c r="O72" s="31"/>
      <c r="P72" s="32">
        <f>68186</f>
        <v>68186</v>
      </c>
      <c r="Q72" s="32"/>
      <c r="R72" s="32"/>
      <c r="S72" s="32">
        <f>31147.39</f>
        <v>31147.39</v>
      </c>
      <c r="T72" s="32"/>
      <c r="U72" s="32"/>
      <c r="V72" s="32"/>
      <c r="W72" s="33">
        <f>37038.61</f>
        <v>37038.61</v>
      </c>
      <c r="X72" s="33"/>
    </row>
    <row r="73" spans="1:24" s="1" customFormat="1" ht="13.5" customHeight="1">
      <c r="A73" s="30" t="s">
        <v>111</v>
      </c>
      <c r="B73" s="30"/>
      <c r="C73" s="30"/>
      <c r="D73" s="30"/>
      <c r="E73" s="30"/>
      <c r="F73" s="30"/>
      <c r="G73" s="30"/>
      <c r="H73" s="30"/>
      <c r="I73" s="30"/>
      <c r="J73" s="30"/>
      <c r="K73" s="30"/>
      <c r="L73" s="31" t="s">
        <v>102</v>
      </c>
      <c r="M73" s="31"/>
      <c r="N73" s="31" t="s">
        <v>136</v>
      </c>
      <c r="O73" s="31"/>
      <c r="P73" s="32">
        <f>0</f>
        <v>0</v>
      </c>
      <c r="Q73" s="32"/>
      <c r="R73" s="32"/>
      <c r="S73" s="34" t="s">
        <v>39</v>
      </c>
      <c r="T73" s="34"/>
      <c r="U73" s="34"/>
      <c r="V73" s="34"/>
      <c r="W73" s="35" t="s">
        <v>39</v>
      </c>
      <c r="X73" s="35"/>
    </row>
    <row r="74" spans="1:24" s="1" customFormat="1" ht="13.5" customHeight="1">
      <c r="A74" s="30" t="s">
        <v>111</v>
      </c>
      <c r="B74" s="30"/>
      <c r="C74" s="30"/>
      <c r="D74" s="30"/>
      <c r="E74" s="30"/>
      <c r="F74" s="30"/>
      <c r="G74" s="30"/>
      <c r="H74" s="30"/>
      <c r="I74" s="30"/>
      <c r="J74" s="30"/>
      <c r="K74" s="30"/>
      <c r="L74" s="31" t="s">
        <v>102</v>
      </c>
      <c r="M74" s="31"/>
      <c r="N74" s="31" t="s">
        <v>137</v>
      </c>
      <c r="O74" s="31"/>
      <c r="P74" s="32">
        <f>7000</f>
        <v>7000</v>
      </c>
      <c r="Q74" s="32"/>
      <c r="R74" s="32"/>
      <c r="S74" s="34" t="s">
        <v>39</v>
      </c>
      <c r="T74" s="34"/>
      <c r="U74" s="34"/>
      <c r="V74" s="34"/>
      <c r="W74" s="33">
        <f>7000</f>
        <v>7000</v>
      </c>
      <c r="X74" s="33"/>
    </row>
    <row r="75" spans="1:24" s="1" customFormat="1" ht="13.5" customHeight="1">
      <c r="A75" s="30" t="s">
        <v>111</v>
      </c>
      <c r="B75" s="30"/>
      <c r="C75" s="30"/>
      <c r="D75" s="30"/>
      <c r="E75" s="30"/>
      <c r="F75" s="30"/>
      <c r="G75" s="30"/>
      <c r="H75" s="30"/>
      <c r="I75" s="30"/>
      <c r="J75" s="30"/>
      <c r="K75" s="30"/>
      <c r="L75" s="31" t="s">
        <v>102</v>
      </c>
      <c r="M75" s="31"/>
      <c r="N75" s="31" t="s">
        <v>138</v>
      </c>
      <c r="O75" s="31"/>
      <c r="P75" s="32">
        <f>8000</f>
        <v>8000</v>
      </c>
      <c r="Q75" s="32"/>
      <c r="R75" s="32"/>
      <c r="S75" s="34" t="s">
        <v>39</v>
      </c>
      <c r="T75" s="34"/>
      <c r="U75" s="34"/>
      <c r="V75" s="34"/>
      <c r="W75" s="33">
        <f>8000</f>
        <v>8000</v>
      </c>
      <c r="X75" s="33"/>
    </row>
    <row r="76" spans="1:24" s="1" customFormat="1" ht="13.5" customHeight="1">
      <c r="A76" s="30" t="s">
        <v>111</v>
      </c>
      <c r="B76" s="30"/>
      <c r="C76" s="30"/>
      <c r="D76" s="30"/>
      <c r="E76" s="30"/>
      <c r="F76" s="30"/>
      <c r="G76" s="30"/>
      <c r="H76" s="30"/>
      <c r="I76" s="30"/>
      <c r="J76" s="30"/>
      <c r="K76" s="30"/>
      <c r="L76" s="31" t="s">
        <v>102</v>
      </c>
      <c r="M76" s="31"/>
      <c r="N76" s="31" t="s">
        <v>139</v>
      </c>
      <c r="O76" s="31"/>
      <c r="P76" s="32">
        <f>5000</f>
        <v>5000</v>
      </c>
      <c r="Q76" s="32"/>
      <c r="R76" s="32"/>
      <c r="S76" s="34" t="s">
        <v>39</v>
      </c>
      <c r="T76" s="34"/>
      <c r="U76" s="34"/>
      <c r="V76" s="34"/>
      <c r="W76" s="33">
        <f>5000</f>
        <v>5000</v>
      </c>
      <c r="X76" s="33"/>
    </row>
    <row r="77" spans="1:24" s="1" customFormat="1" ht="13.5" customHeight="1">
      <c r="A77" s="30" t="s">
        <v>111</v>
      </c>
      <c r="B77" s="30"/>
      <c r="C77" s="30"/>
      <c r="D77" s="30"/>
      <c r="E77" s="30"/>
      <c r="F77" s="30"/>
      <c r="G77" s="30"/>
      <c r="H77" s="30"/>
      <c r="I77" s="30"/>
      <c r="J77" s="30"/>
      <c r="K77" s="30"/>
      <c r="L77" s="31" t="s">
        <v>102</v>
      </c>
      <c r="M77" s="31"/>
      <c r="N77" s="31" t="s">
        <v>140</v>
      </c>
      <c r="O77" s="31"/>
      <c r="P77" s="32">
        <f>20000</f>
        <v>20000</v>
      </c>
      <c r="Q77" s="32"/>
      <c r="R77" s="32"/>
      <c r="S77" s="32">
        <f>2113.44</f>
        <v>2113.44</v>
      </c>
      <c r="T77" s="32"/>
      <c r="U77" s="32"/>
      <c r="V77" s="32"/>
      <c r="W77" s="33">
        <f>17886.56</f>
        <v>17886.56</v>
      </c>
      <c r="X77" s="33"/>
    </row>
    <row r="78" spans="1:24" s="1" customFormat="1" ht="13.5" customHeight="1">
      <c r="A78" s="30" t="s">
        <v>111</v>
      </c>
      <c r="B78" s="30"/>
      <c r="C78" s="30"/>
      <c r="D78" s="30"/>
      <c r="E78" s="30"/>
      <c r="F78" s="30"/>
      <c r="G78" s="30"/>
      <c r="H78" s="30"/>
      <c r="I78" s="30"/>
      <c r="J78" s="30"/>
      <c r="K78" s="30"/>
      <c r="L78" s="31" t="s">
        <v>102</v>
      </c>
      <c r="M78" s="31"/>
      <c r="N78" s="31" t="s">
        <v>141</v>
      </c>
      <c r="O78" s="31"/>
      <c r="P78" s="32">
        <f>580000</f>
        <v>580000</v>
      </c>
      <c r="Q78" s="32"/>
      <c r="R78" s="32"/>
      <c r="S78" s="32">
        <f>549830.22</f>
        <v>549830.22</v>
      </c>
      <c r="T78" s="32"/>
      <c r="U78" s="32"/>
      <c r="V78" s="32"/>
      <c r="W78" s="33">
        <f>30169.78</f>
        <v>30169.78</v>
      </c>
      <c r="X78" s="33"/>
    </row>
    <row r="79" spans="1:24" s="1" customFormat="1" ht="13.5" customHeight="1">
      <c r="A79" s="30" t="s">
        <v>111</v>
      </c>
      <c r="B79" s="30"/>
      <c r="C79" s="30"/>
      <c r="D79" s="30"/>
      <c r="E79" s="30"/>
      <c r="F79" s="30"/>
      <c r="G79" s="30"/>
      <c r="H79" s="30"/>
      <c r="I79" s="30"/>
      <c r="J79" s="30"/>
      <c r="K79" s="30"/>
      <c r="L79" s="31" t="s">
        <v>102</v>
      </c>
      <c r="M79" s="31"/>
      <c r="N79" s="31" t="s">
        <v>142</v>
      </c>
      <c r="O79" s="31"/>
      <c r="P79" s="32">
        <f>3389611.13</f>
        <v>3389611.13</v>
      </c>
      <c r="Q79" s="32"/>
      <c r="R79" s="32"/>
      <c r="S79" s="32">
        <f>2006613.86</f>
        <v>2006613.86</v>
      </c>
      <c r="T79" s="32"/>
      <c r="U79" s="32"/>
      <c r="V79" s="32"/>
      <c r="W79" s="33">
        <f>1382997.27</f>
        <v>1382997.27</v>
      </c>
      <c r="X79" s="33"/>
    </row>
    <row r="80" spans="1:24" s="1" customFormat="1" ht="13.5" customHeight="1">
      <c r="A80" s="30" t="s">
        <v>111</v>
      </c>
      <c r="B80" s="30"/>
      <c r="C80" s="30"/>
      <c r="D80" s="30"/>
      <c r="E80" s="30"/>
      <c r="F80" s="30"/>
      <c r="G80" s="30"/>
      <c r="H80" s="30"/>
      <c r="I80" s="30"/>
      <c r="J80" s="30"/>
      <c r="K80" s="30"/>
      <c r="L80" s="31" t="s">
        <v>102</v>
      </c>
      <c r="M80" s="31"/>
      <c r="N80" s="31" t="s">
        <v>143</v>
      </c>
      <c r="O80" s="31"/>
      <c r="P80" s="32">
        <f>0</f>
        <v>0</v>
      </c>
      <c r="Q80" s="32"/>
      <c r="R80" s="32"/>
      <c r="S80" s="34" t="s">
        <v>39</v>
      </c>
      <c r="T80" s="34"/>
      <c r="U80" s="34"/>
      <c r="V80" s="34"/>
      <c r="W80" s="35" t="s">
        <v>39</v>
      </c>
      <c r="X80" s="35"/>
    </row>
    <row r="81" spans="1:24" s="1" customFormat="1" ht="13.5" customHeight="1">
      <c r="A81" s="30" t="s">
        <v>126</v>
      </c>
      <c r="B81" s="30"/>
      <c r="C81" s="30"/>
      <c r="D81" s="30"/>
      <c r="E81" s="30"/>
      <c r="F81" s="30"/>
      <c r="G81" s="30"/>
      <c r="H81" s="30"/>
      <c r="I81" s="30"/>
      <c r="J81" s="30"/>
      <c r="K81" s="30"/>
      <c r="L81" s="31" t="s">
        <v>102</v>
      </c>
      <c r="M81" s="31"/>
      <c r="N81" s="31" t="s">
        <v>144</v>
      </c>
      <c r="O81" s="31"/>
      <c r="P81" s="32">
        <f>2118310.2</f>
        <v>2118310.2</v>
      </c>
      <c r="Q81" s="32"/>
      <c r="R81" s="32"/>
      <c r="S81" s="34" t="s">
        <v>39</v>
      </c>
      <c r="T81" s="34"/>
      <c r="U81" s="34"/>
      <c r="V81" s="34"/>
      <c r="W81" s="33">
        <f>2118310.2</f>
        <v>2118310.2</v>
      </c>
      <c r="X81" s="33"/>
    </row>
    <row r="82" spans="1:24" s="1" customFormat="1" ht="13.5" customHeight="1">
      <c r="A82" s="30" t="s">
        <v>111</v>
      </c>
      <c r="B82" s="30"/>
      <c r="C82" s="30"/>
      <c r="D82" s="30"/>
      <c r="E82" s="30"/>
      <c r="F82" s="30"/>
      <c r="G82" s="30"/>
      <c r="H82" s="30"/>
      <c r="I82" s="30"/>
      <c r="J82" s="30"/>
      <c r="K82" s="30"/>
      <c r="L82" s="31" t="s">
        <v>102</v>
      </c>
      <c r="M82" s="31"/>
      <c r="N82" s="31" t="s">
        <v>145</v>
      </c>
      <c r="O82" s="31"/>
      <c r="P82" s="32">
        <f>7300858.17</f>
        <v>7300858.17</v>
      </c>
      <c r="Q82" s="32"/>
      <c r="R82" s="32"/>
      <c r="S82" s="32">
        <f>1270078.9</f>
        <v>1270078.9</v>
      </c>
      <c r="T82" s="32"/>
      <c r="U82" s="32"/>
      <c r="V82" s="32"/>
      <c r="W82" s="33">
        <f>6030779.27</f>
        <v>6030779.27</v>
      </c>
      <c r="X82" s="33"/>
    </row>
    <row r="83" spans="1:24" s="1" customFormat="1" ht="13.5" customHeight="1">
      <c r="A83" s="30" t="s">
        <v>111</v>
      </c>
      <c r="B83" s="30"/>
      <c r="C83" s="30"/>
      <c r="D83" s="30"/>
      <c r="E83" s="30"/>
      <c r="F83" s="30"/>
      <c r="G83" s="30"/>
      <c r="H83" s="30"/>
      <c r="I83" s="30"/>
      <c r="J83" s="30"/>
      <c r="K83" s="30"/>
      <c r="L83" s="31" t="s">
        <v>102</v>
      </c>
      <c r="M83" s="31"/>
      <c r="N83" s="31" t="s">
        <v>146</v>
      </c>
      <c r="O83" s="31"/>
      <c r="P83" s="32">
        <f>0</f>
        <v>0</v>
      </c>
      <c r="Q83" s="32"/>
      <c r="R83" s="32"/>
      <c r="S83" s="34" t="s">
        <v>39</v>
      </c>
      <c r="T83" s="34"/>
      <c r="U83" s="34"/>
      <c r="V83" s="34"/>
      <c r="W83" s="35" t="s">
        <v>39</v>
      </c>
      <c r="X83" s="35"/>
    </row>
    <row r="84" spans="1:24" s="1" customFormat="1" ht="13.5" customHeight="1">
      <c r="A84" s="30" t="s">
        <v>126</v>
      </c>
      <c r="B84" s="30"/>
      <c r="C84" s="30"/>
      <c r="D84" s="30"/>
      <c r="E84" s="30"/>
      <c r="F84" s="30"/>
      <c r="G84" s="30"/>
      <c r="H84" s="30"/>
      <c r="I84" s="30"/>
      <c r="J84" s="30"/>
      <c r="K84" s="30"/>
      <c r="L84" s="31" t="s">
        <v>102</v>
      </c>
      <c r="M84" s="31"/>
      <c r="N84" s="31" t="s">
        <v>147</v>
      </c>
      <c r="O84" s="31"/>
      <c r="P84" s="32">
        <f>86417.42</f>
        <v>86417.42</v>
      </c>
      <c r="Q84" s="32"/>
      <c r="R84" s="32"/>
      <c r="S84" s="34" t="s">
        <v>39</v>
      </c>
      <c r="T84" s="34"/>
      <c r="U84" s="34"/>
      <c r="V84" s="34"/>
      <c r="W84" s="33">
        <f>86417.42</f>
        <v>86417.42</v>
      </c>
      <c r="X84" s="33"/>
    </row>
    <row r="85" spans="1:24" s="1" customFormat="1" ht="13.5" customHeight="1">
      <c r="A85" s="30" t="s">
        <v>111</v>
      </c>
      <c r="B85" s="30"/>
      <c r="C85" s="30"/>
      <c r="D85" s="30"/>
      <c r="E85" s="30"/>
      <c r="F85" s="30"/>
      <c r="G85" s="30"/>
      <c r="H85" s="30"/>
      <c r="I85" s="30"/>
      <c r="J85" s="30"/>
      <c r="K85" s="30"/>
      <c r="L85" s="31" t="s">
        <v>102</v>
      </c>
      <c r="M85" s="31"/>
      <c r="N85" s="31" t="s">
        <v>148</v>
      </c>
      <c r="O85" s="31"/>
      <c r="P85" s="32">
        <f>0</f>
        <v>0</v>
      </c>
      <c r="Q85" s="32"/>
      <c r="R85" s="32"/>
      <c r="S85" s="34" t="s">
        <v>39</v>
      </c>
      <c r="T85" s="34"/>
      <c r="U85" s="34"/>
      <c r="V85" s="34"/>
      <c r="W85" s="35" t="s">
        <v>39</v>
      </c>
      <c r="X85" s="35"/>
    </row>
    <row r="86" spans="1:24" s="1" customFormat="1" ht="13.5" customHeight="1">
      <c r="A86" s="30" t="s">
        <v>126</v>
      </c>
      <c r="B86" s="30"/>
      <c r="C86" s="30"/>
      <c r="D86" s="30"/>
      <c r="E86" s="30"/>
      <c r="F86" s="30"/>
      <c r="G86" s="30"/>
      <c r="H86" s="30"/>
      <c r="I86" s="30"/>
      <c r="J86" s="30"/>
      <c r="K86" s="30"/>
      <c r="L86" s="31" t="s">
        <v>102</v>
      </c>
      <c r="M86" s="31"/>
      <c r="N86" s="31" t="s">
        <v>149</v>
      </c>
      <c r="O86" s="31"/>
      <c r="P86" s="32">
        <f>3714285</f>
        <v>3714285</v>
      </c>
      <c r="Q86" s="32"/>
      <c r="R86" s="32"/>
      <c r="S86" s="34" t="s">
        <v>39</v>
      </c>
      <c r="T86" s="34"/>
      <c r="U86" s="34"/>
      <c r="V86" s="34"/>
      <c r="W86" s="33">
        <f>3714285</f>
        <v>3714285</v>
      </c>
      <c r="X86" s="33"/>
    </row>
    <row r="87" spans="1:24" s="1" customFormat="1" ht="13.5" customHeight="1">
      <c r="A87" s="30" t="s">
        <v>111</v>
      </c>
      <c r="B87" s="30"/>
      <c r="C87" s="30"/>
      <c r="D87" s="30"/>
      <c r="E87" s="30"/>
      <c r="F87" s="30"/>
      <c r="G87" s="30"/>
      <c r="H87" s="30"/>
      <c r="I87" s="30"/>
      <c r="J87" s="30"/>
      <c r="K87" s="30"/>
      <c r="L87" s="31" t="s">
        <v>102</v>
      </c>
      <c r="M87" s="31"/>
      <c r="N87" s="31" t="s">
        <v>150</v>
      </c>
      <c r="O87" s="31"/>
      <c r="P87" s="32">
        <f>0</f>
        <v>0</v>
      </c>
      <c r="Q87" s="32"/>
      <c r="R87" s="32"/>
      <c r="S87" s="34" t="s">
        <v>39</v>
      </c>
      <c r="T87" s="34"/>
      <c r="U87" s="34"/>
      <c r="V87" s="34"/>
      <c r="W87" s="35" t="s">
        <v>39</v>
      </c>
      <c r="X87" s="35"/>
    </row>
    <row r="88" spans="1:24" s="1" customFormat="1" ht="13.5" customHeight="1">
      <c r="A88" s="30" t="s">
        <v>126</v>
      </c>
      <c r="B88" s="30"/>
      <c r="C88" s="30"/>
      <c r="D88" s="30"/>
      <c r="E88" s="30"/>
      <c r="F88" s="30"/>
      <c r="G88" s="30"/>
      <c r="H88" s="30"/>
      <c r="I88" s="30"/>
      <c r="J88" s="30"/>
      <c r="K88" s="30"/>
      <c r="L88" s="31" t="s">
        <v>102</v>
      </c>
      <c r="M88" s="31"/>
      <c r="N88" s="31" t="s">
        <v>151</v>
      </c>
      <c r="O88" s="31"/>
      <c r="P88" s="32">
        <f>1641931</f>
        <v>1641931</v>
      </c>
      <c r="Q88" s="32"/>
      <c r="R88" s="32"/>
      <c r="S88" s="34" t="s">
        <v>39</v>
      </c>
      <c r="T88" s="34"/>
      <c r="U88" s="34"/>
      <c r="V88" s="34"/>
      <c r="W88" s="33">
        <f>1641931</f>
        <v>1641931</v>
      </c>
      <c r="X88" s="33"/>
    </row>
    <row r="89" spans="1:24" s="1" customFormat="1" ht="13.5" customHeight="1">
      <c r="A89" s="30" t="s">
        <v>126</v>
      </c>
      <c r="B89" s="30"/>
      <c r="C89" s="30"/>
      <c r="D89" s="30"/>
      <c r="E89" s="30"/>
      <c r="F89" s="30"/>
      <c r="G89" s="30"/>
      <c r="H89" s="30"/>
      <c r="I89" s="30"/>
      <c r="J89" s="30"/>
      <c r="K89" s="30"/>
      <c r="L89" s="31" t="s">
        <v>102</v>
      </c>
      <c r="M89" s="31"/>
      <c r="N89" s="31" t="s">
        <v>152</v>
      </c>
      <c r="O89" s="31"/>
      <c r="P89" s="32">
        <f>3227</f>
        <v>3227</v>
      </c>
      <c r="Q89" s="32"/>
      <c r="R89" s="32"/>
      <c r="S89" s="34" t="s">
        <v>39</v>
      </c>
      <c r="T89" s="34"/>
      <c r="U89" s="34"/>
      <c r="V89" s="34"/>
      <c r="W89" s="33">
        <f>3227</f>
        <v>3227</v>
      </c>
      <c r="X89" s="33"/>
    </row>
    <row r="90" spans="1:24" s="1" customFormat="1" ht="13.5" customHeight="1">
      <c r="A90" s="30" t="s">
        <v>126</v>
      </c>
      <c r="B90" s="30"/>
      <c r="C90" s="30"/>
      <c r="D90" s="30"/>
      <c r="E90" s="30"/>
      <c r="F90" s="30"/>
      <c r="G90" s="30"/>
      <c r="H90" s="30"/>
      <c r="I90" s="30"/>
      <c r="J90" s="30"/>
      <c r="K90" s="30"/>
      <c r="L90" s="31" t="s">
        <v>102</v>
      </c>
      <c r="M90" s="31"/>
      <c r="N90" s="31" t="s">
        <v>153</v>
      </c>
      <c r="O90" s="31"/>
      <c r="P90" s="32">
        <f>61301</f>
        <v>61301</v>
      </c>
      <c r="Q90" s="32"/>
      <c r="R90" s="32"/>
      <c r="S90" s="34" t="s">
        <v>39</v>
      </c>
      <c r="T90" s="34"/>
      <c r="U90" s="34"/>
      <c r="V90" s="34"/>
      <c r="W90" s="33">
        <f>61301</f>
        <v>61301</v>
      </c>
      <c r="X90" s="33"/>
    </row>
    <row r="91" spans="1:24" s="1" customFormat="1" ht="13.5" customHeight="1">
      <c r="A91" s="30" t="s">
        <v>111</v>
      </c>
      <c r="B91" s="30"/>
      <c r="C91" s="30"/>
      <c r="D91" s="30"/>
      <c r="E91" s="30"/>
      <c r="F91" s="30"/>
      <c r="G91" s="30"/>
      <c r="H91" s="30"/>
      <c r="I91" s="30"/>
      <c r="J91" s="30"/>
      <c r="K91" s="30"/>
      <c r="L91" s="31" t="s">
        <v>102</v>
      </c>
      <c r="M91" s="31"/>
      <c r="N91" s="31" t="s">
        <v>154</v>
      </c>
      <c r="O91" s="31"/>
      <c r="P91" s="32">
        <f>65000</f>
        <v>65000</v>
      </c>
      <c r="Q91" s="32"/>
      <c r="R91" s="32"/>
      <c r="S91" s="32">
        <f>22075.82</f>
        <v>22075.82</v>
      </c>
      <c r="T91" s="32"/>
      <c r="U91" s="32"/>
      <c r="V91" s="32"/>
      <c r="W91" s="33">
        <f>42924.18</f>
        <v>42924.18</v>
      </c>
      <c r="X91" s="33"/>
    </row>
    <row r="92" spans="1:24" s="1" customFormat="1" ht="13.5" customHeight="1">
      <c r="A92" s="30" t="s">
        <v>111</v>
      </c>
      <c r="B92" s="30"/>
      <c r="C92" s="30"/>
      <c r="D92" s="30"/>
      <c r="E92" s="30"/>
      <c r="F92" s="30"/>
      <c r="G92" s="30"/>
      <c r="H92" s="30"/>
      <c r="I92" s="30"/>
      <c r="J92" s="30"/>
      <c r="K92" s="30"/>
      <c r="L92" s="31" t="s">
        <v>102</v>
      </c>
      <c r="M92" s="31"/>
      <c r="N92" s="31" t="s">
        <v>155</v>
      </c>
      <c r="O92" s="31"/>
      <c r="P92" s="32">
        <f>234091.84</f>
        <v>234091.84</v>
      </c>
      <c r="Q92" s="32"/>
      <c r="R92" s="32"/>
      <c r="S92" s="34" t="s">
        <v>39</v>
      </c>
      <c r="T92" s="34"/>
      <c r="U92" s="34"/>
      <c r="V92" s="34"/>
      <c r="W92" s="33">
        <f>234091.84</f>
        <v>234091.84</v>
      </c>
      <c r="X92" s="33"/>
    </row>
    <row r="93" spans="1:24" s="1" customFormat="1" ht="24" customHeight="1">
      <c r="A93" s="30" t="s">
        <v>156</v>
      </c>
      <c r="B93" s="30"/>
      <c r="C93" s="30"/>
      <c r="D93" s="30"/>
      <c r="E93" s="30"/>
      <c r="F93" s="30"/>
      <c r="G93" s="30"/>
      <c r="H93" s="30"/>
      <c r="I93" s="30"/>
      <c r="J93" s="30"/>
      <c r="K93" s="30"/>
      <c r="L93" s="31" t="s">
        <v>102</v>
      </c>
      <c r="M93" s="31"/>
      <c r="N93" s="31" t="s">
        <v>157</v>
      </c>
      <c r="O93" s="31"/>
      <c r="P93" s="32">
        <f>445908.16</f>
        <v>445908.16</v>
      </c>
      <c r="Q93" s="32"/>
      <c r="R93" s="32"/>
      <c r="S93" s="32">
        <f>445908.16</f>
        <v>445908.16</v>
      </c>
      <c r="T93" s="32"/>
      <c r="U93" s="32"/>
      <c r="V93" s="32"/>
      <c r="W93" s="33">
        <f>0</f>
        <v>0</v>
      </c>
      <c r="X93" s="33"/>
    </row>
    <row r="94" spans="1:24" s="1" customFormat="1" ht="13.5" customHeight="1">
      <c r="A94" s="30" t="s">
        <v>111</v>
      </c>
      <c r="B94" s="30"/>
      <c r="C94" s="30"/>
      <c r="D94" s="30"/>
      <c r="E94" s="30"/>
      <c r="F94" s="30"/>
      <c r="G94" s="30"/>
      <c r="H94" s="30"/>
      <c r="I94" s="30"/>
      <c r="J94" s="30"/>
      <c r="K94" s="30"/>
      <c r="L94" s="31" t="s">
        <v>102</v>
      </c>
      <c r="M94" s="31"/>
      <c r="N94" s="31" t="s">
        <v>158</v>
      </c>
      <c r="O94" s="31"/>
      <c r="P94" s="32">
        <f>800000</f>
        <v>800000</v>
      </c>
      <c r="Q94" s="32"/>
      <c r="R94" s="32"/>
      <c r="S94" s="32">
        <f>484118.19</f>
        <v>484118.19</v>
      </c>
      <c r="T94" s="32"/>
      <c r="U94" s="32"/>
      <c r="V94" s="32"/>
      <c r="W94" s="33">
        <f>315881.81</f>
        <v>315881.81</v>
      </c>
      <c r="X94" s="33"/>
    </row>
    <row r="95" spans="1:24" s="1" customFormat="1" ht="13.5" customHeight="1">
      <c r="A95" s="30" t="s">
        <v>113</v>
      </c>
      <c r="B95" s="30"/>
      <c r="C95" s="30"/>
      <c r="D95" s="30"/>
      <c r="E95" s="30"/>
      <c r="F95" s="30"/>
      <c r="G95" s="30"/>
      <c r="H95" s="30"/>
      <c r="I95" s="30"/>
      <c r="J95" s="30"/>
      <c r="K95" s="30"/>
      <c r="L95" s="31" t="s">
        <v>102</v>
      </c>
      <c r="M95" s="31"/>
      <c r="N95" s="31" t="s">
        <v>159</v>
      </c>
      <c r="O95" s="31"/>
      <c r="P95" s="32">
        <f>1200000</f>
        <v>1200000</v>
      </c>
      <c r="Q95" s="32"/>
      <c r="R95" s="32"/>
      <c r="S95" s="32">
        <f>497220.41</f>
        <v>497220.41</v>
      </c>
      <c r="T95" s="32"/>
      <c r="U95" s="32"/>
      <c r="V95" s="32"/>
      <c r="W95" s="33">
        <f>702779.59</f>
        <v>702779.59</v>
      </c>
      <c r="X95" s="33"/>
    </row>
    <row r="96" spans="1:24" s="1" customFormat="1" ht="13.5" customHeight="1">
      <c r="A96" s="30" t="s">
        <v>111</v>
      </c>
      <c r="B96" s="30"/>
      <c r="C96" s="30"/>
      <c r="D96" s="30"/>
      <c r="E96" s="30"/>
      <c r="F96" s="30"/>
      <c r="G96" s="30"/>
      <c r="H96" s="30"/>
      <c r="I96" s="30"/>
      <c r="J96" s="30"/>
      <c r="K96" s="30"/>
      <c r="L96" s="31" t="s">
        <v>102</v>
      </c>
      <c r="M96" s="31"/>
      <c r="N96" s="31" t="s">
        <v>160</v>
      </c>
      <c r="O96" s="31"/>
      <c r="P96" s="32">
        <f>300000</f>
        <v>300000</v>
      </c>
      <c r="Q96" s="32"/>
      <c r="R96" s="32"/>
      <c r="S96" s="32">
        <f>62954.83</f>
        <v>62954.83</v>
      </c>
      <c r="T96" s="32"/>
      <c r="U96" s="32"/>
      <c r="V96" s="32"/>
      <c r="W96" s="33">
        <f>237045.17</f>
        <v>237045.17</v>
      </c>
      <c r="X96" s="33"/>
    </row>
    <row r="97" spans="1:24" s="1" customFormat="1" ht="13.5" customHeight="1">
      <c r="A97" s="30" t="s">
        <v>111</v>
      </c>
      <c r="B97" s="30"/>
      <c r="C97" s="30"/>
      <c r="D97" s="30"/>
      <c r="E97" s="30"/>
      <c r="F97" s="30"/>
      <c r="G97" s="30"/>
      <c r="H97" s="30"/>
      <c r="I97" s="30"/>
      <c r="J97" s="30"/>
      <c r="K97" s="30"/>
      <c r="L97" s="31" t="s">
        <v>102</v>
      </c>
      <c r="M97" s="31"/>
      <c r="N97" s="31" t="s">
        <v>161</v>
      </c>
      <c r="O97" s="31"/>
      <c r="P97" s="32">
        <f>35164.2</f>
        <v>35164.2</v>
      </c>
      <c r="Q97" s="32"/>
      <c r="R97" s="32"/>
      <c r="S97" s="32">
        <f>3750</f>
        <v>3750</v>
      </c>
      <c r="T97" s="32"/>
      <c r="U97" s="32"/>
      <c r="V97" s="32"/>
      <c r="W97" s="33">
        <f>31414.2</f>
        <v>31414.2</v>
      </c>
      <c r="X97" s="33"/>
    </row>
    <row r="98" spans="1:24" s="1" customFormat="1" ht="13.5" customHeight="1">
      <c r="A98" s="30" t="s">
        <v>111</v>
      </c>
      <c r="B98" s="30"/>
      <c r="C98" s="30"/>
      <c r="D98" s="30"/>
      <c r="E98" s="30"/>
      <c r="F98" s="30"/>
      <c r="G98" s="30"/>
      <c r="H98" s="30"/>
      <c r="I98" s="30"/>
      <c r="J98" s="30"/>
      <c r="K98" s="30"/>
      <c r="L98" s="31" t="s">
        <v>102</v>
      </c>
      <c r="M98" s="31"/>
      <c r="N98" s="31" t="s">
        <v>162</v>
      </c>
      <c r="O98" s="31"/>
      <c r="P98" s="32">
        <f>1778754.77</f>
        <v>1778754.77</v>
      </c>
      <c r="Q98" s="32"/>
      <c r="R98" s="32"/>
      <c r="S98" s="32">
        <f>1236607.93</f>
        <v>1236607.93</v>
      </c>
      <c r="T98" s="32"/>
      <c r="U98" s="32"/>
      <c r="V98" s="32"/>
      <c r="W98" s="33">
        <f>542146.84</f>
        <v>542146.84</v>
      </c>
      <c r="X98" s="33"/>
    </row>
    <row r="99" spans="1:24" s="1" customFormat="1" ht="13.5" customHeight="1">
      <c r="A99" s="30" t="s">
        <v>111</v>
      </c>
      <c r="B99" s="30"/>
      <c r="C99" s="30"/>
      <c r="D99" s="30"/>
      <c r="E99" s="30"/>
      <c r="F99" s="30"/>
      <c r="G99" s="30"/>
      <c r="H99" s="30"/>
      <c r="I99" s="30"/>
      <c r="J99" s="30"/>
      <c r="K99" s="30"/>
      <c r="L99" s="31" t="s">
        <v>102</v>
      </c>
      <c r="M99" s="31"/>
      <c r="N99" s="31" t="s">
        <v>163</v>
      </c>
      <c r="O99" s="31"/>
      <c r="P99" s="32">
        <f>133719</f>
        <v>133719</v>
      </c>
      <c r="Q99" s="32"/>
      <c r="R99" s="32"/>
      <c r="S99" s="34" t="s">
        <v>39</v>
      </c>
      <c r="T99" s="34"/>
      <c r="U99" s="34"/>
      <c r="V99" s="34"/>
      <c r="W99" s="33">
        <f>133719</f>
        <v>133719</v>
      </c>
      <c r="X99" s="33"/>
    </row>
    <row r="100" spans="1:24" s="1" customFormat="1" ht="13.5" customHeight="1">
      <c r="A100" s="30" t="s">
        <v>111</v>
      </c>
      <c r="B100" s="30"/>
      <c r="C100" s="30"/>
      <c r="D100" s="30"/>
      <c r="E100" s="30"/>
      <c r="F100" s="30"/>
      <c r="G100" s="30"/>
      <c r="H100" s="30"/>
      <c r="I100" s="30"/>
      <c r="J100" s="30"/>
      <c r="K100" s="30"/>
      <c r="L100" s="31" t="s">
        <v>102</v>
      </c>
      <c r="M100" s="31"/>
      <c r="N100" s="31" t="s">
        <v>164</v>
      </c>
      <c r="O100" s="31"/>
      <c r="P100" s="32">
        <f>0</f>
        <v>0</v>
      </c>
      <c r="Q100" s="32"/>
      <c r="R100" s="32"/>
      <c r="S100" s="34" t="s">
        <v>39</v>
      </c>
      <c r="T100" s="34"/>
      <c r="U100" s="34"/>
      <c r="V100" s="34"/>
      <c r="W100" s="35" t="s">
        <v>39</v>
      </c>
      <c r="X100" s="35"/>
    </row>
    <row r="101" spans="1:24" s="1" customFormat="1" ht="13.5" customHeight="1">
      <c r="A101" s="30" t="s">
        <v>111</v>
      </c>
      <c r="B101" s="30"/>
      <c r="C101" s="30"/>
      <c r="D101" s="30"/>
      <c r="E101" s="30"/>
      <c r="F101" s="30"/>
      <c r="G101" s="30"/>
      <c r="H101" s="30"/>
      <c r="I101" s="30"/>
      <c r="J101" s="30"/>
      <c r="K101" s="30"/>
      <c r="L101" s="31" t="s">
        <v>102</v>
      </c>
      <c r="M101" s="31"/>
      <c r="N101" s="31" t="s">
        <v>165</v>
      </c>
      <c r="O101" s="31"/>
      <c r="P101" s="32">
        <f>57737.15</f>
        <v>57737.15</v>
      </c>
      <c r="Q101" s="32"/>
      <c r="R101" s="32"/>
      <c r="S101" s="32">
        <f>30300</f>
        <v>30300</v>
      </c>
      <c r="T101" s="32"/>
      <c r="U101" s="32"/>
      <c r="V101" s="32"/>
      <c r="W101" s="33">
        <f>27437.15</f>
        <v>27437.15</v>
      </c>
      <c r="X101" s="33"/>
    </row>
    <row r="102" spans="1:24" s="1" customFormat="1" ht="13.5" customHeight="1">
      <c r="A102" s="30" t="s">
        <v>111</v>
      </c>
      <c r="B102" s="30"/>
      <c r="C102" s="30"/>
      <c r="D102" s="30"/>
      <c r="E102" s="30"/>
      <c r="F102" s="30"/>
      <c r="G102" s="30"/>
      <c r="H102" s="30"/>
      <c r="I102" s="30"/>
      <c r="J102" s="30"/>
      <c r="K102" s="30"/>
      <c r="L102" s="31" t="s">
        <v>102</v>
      </c>
      <c r="M102" s="31"/>
      <c r="N102" s="31" t="s">
        <v>166</v>
      </c>
      <c r="O102" s="31"/>
      <c r="P102" s="32">
        <f>1500000</f>
        <v>1500000</v>
      </c>
      <c r="Q102" s="32"/>
      <c r="R102" s="32"/>
      <c r="S102" s="32">
        <f>1497487.4</f>
        <v>1497487.4</v>
      </c>
      <c r="T102" s="32"/>
      <c r="U102" s="32"/>
      <c r="V102" s="32"/>
      <c r="W102" s="33">
        <f>2512.6</f>
        <v>2512.6</v>
      </c>
      <c r="X102" s="33"/>
    </row>
    <row r="103" spans="1:24" s="1" customFormat="1" ht="13.5" customHeight="1">
      <c r="A103" s="30" t="s">
        <v>111</v>
      </c>
      <c r="B103" s="30"/>
      <c r="C103" s="30"/>
      <c r="D103" s="30"/>
      <c r="E103" s="30"/>
      <c r="F103" s="30"/>
      <c r="G103" s="30"/>
      <c r="H103" s="30"/>
      <c r="I103" s="30"/>
      <c r="J103" s="30"/>
      <c r="K103" s="30"/>
      <c r="L103" s="31" t="s">
        <v>102</v>
      </c>
      <c r="M103" s="31"/>
      <c r="N103" s="31" t="s">
        <v>167</v>
      </c>
      <c r="O103" s="31"/>
      <c r="P103" s="32">
        <f>40000</f>
        <v>40000</v>
      </c>
      <c r="Q103" s="32"/>
      <c r="R103" s="32"/>
      <c r="S103" s="34" t="s">
        <v>39</v>
      </c>
      <c r="T103" s="34"/>
      <c r="U103" s="34"/>
      <c r="V103" s="34"/>
      <c r="W103" s="33">
        <f>40000</f>
        <v>40000</v>
      </c>
      <c r="X103" s="33"/>
    </row>
    <row r="104" spans="1:24" s="1" customFormat="1" ht="13.5" customHeight="1">
      <c r="A104" s="30" t="s">
        <v>111</v>
      </c>
      <c r="B104" s="30"/>
      <c r="C104" s="30"/>
      <c r="D104" s="30"/>
      <c r="E104" s="30"/>
      <c r="F104" s="30"/>
      <c r="G104" s="30"/>
      <c r="H104" s="30"/>
      <c r="I104" s="30"/>
      <c r="J104" s="30"/>
      <c r="K104" s="30"/>
      <c r="L104" s="31" t="s">
        <v>102</v>
      </c>
      <c r="M104" s="31"/>
      <c r="N104" s="31" t="s">
        <v>168</v>
      </c>
      <c r="O104" s="31"/>
      <c r="P104" s="32">
        <f>350000</f>
        <v>350000</v>
      </c>
      <c r="Q104" s="32"/>
      <c r="R104" s="32"/>
      <c r="S104" s="32">
        <f>81619.54</f>
        <v>81619.54</v>
      </c>
      <c r="T104" s="32"/>
      <c r="U104" s="32"/>
      <c r="V104" s="32"/>
      <c r="W104" s="33">
        <f>268380.46</f>
        <v>268380.46</v>
      </c>
      <c r="X104" s="33"/>
    </row>
    <row r="105" spans="1:24" s="1" customFormat="1" ht="13.5" customHeight="1">
      <c r="A105" s="30" t="s">
        <v>126</v>
      </c>
      <c r="B105" s="30"/>
      <c r="C105" s="30"/>
      <c r="D105" s="30"/>
      <c r="E105" s="30"/>
      <c r="F105" s="30"/>
      <c r="G105" s="30"/>
      <c r="H105" s="30"/>
      <c r="I105" s="30"/>
      <c r="J105" s="30"/>
      <c r="K105" s="30"/>
      <c r="L105" s="31" t="s">
        <v>102</v>
      </c>
      <c r="M105" s="31"/>
      <c r="N105" s="31" t="s">
        <v>169</v>
      </c>
      <c r="O105" s="31"/>
      <c r="P105" s="32">
        <f>121000</f>
        <v>121000</v>
      </c>
      <c r="Q105" s="32"/>
      <c r="R105" s="32"/>
      <c r="S105" s="32">
        <f>90750</f>
        <v>90750</v>
      </c>
      <c r="T105" s="32"/>
      <c r="U105" s="32"/>
      <c r="V105" s="32"/>
      <c r="W105" s="33">
        <f>30250</f>
        <v>30250</v>
      </c>
      <c r="X105" s="33"/>
    </row>
    <row r="106" spans="1:24" s="1" customFormat="1" ht="13.5" customHeight="1">
      <c r="A106" s="30" t="s">
        <v>170</v>
      </c>
      <c r="B106" s="30"/>
      <c r="C106" s="30"/>
      <c r="D106" s="30"/>
      <c r="E106" s="30"/>
      <c r="F106" s="30"/>
      <c r="G106" s="30"/>
      <c r="H106" s="30"/>
      <c r="I106" s="30"/>
      <c r="J106" s="30"/>
      <c r="K106" s="30"/>
      <c r="L106" s="31" t="s">
        <v>102</v>
      </c>
      <c r="M106" s="31"/>
      <c r="N106" s="31" t="s">
        <v>171</v>
      </c>
      <c r="O106" s="31"/>
      <c r="P106" s="32">
        <f>173342.88</f>
        <v>173342.88</v>
      </c>
      <c r="Q106" s="32"/>
      <c r="R106" s="32"/>
      <c r="S106" s="32">
        <f>90674.76</f>
        <v>90674.76</v>
      </c>
      <c r="T106" s="32"/>
      <c r="U106" s="32"/>
      <c r="V106" s="32"/>
      <c r="W106" s="33">
        <f>82668.12</f>
        <v>82668.12</v>
      </c>
      <c r="X106" s="33"/>
    </row>
    <row r="107" spans="1:24" s="1" customFormat="1" ht="24" customHeight="1">
      <c r="A107" s="30" t="s">
        <v>172</v>
      </c>
      <c r="B107" s="30"/>
      <c r="C107" s="30"/>
      <c r="D107" s="30"/>
      <c r="E107" s="30"/>
      <c r="F107" s="30"/>
      <c r="G107" s="30"/>
      <c r="H107" s="30"/>
      <c r="I107" s="30"/>
      <c r="J107" s="30"/>
      <c r="K107" s="30"/>
      <c r="L107" s="31" t="s">
        <v>102</v>
      </c>
      <c r="M107" s="31"/>
      <c r="N107" s="31" t="s">
        <v>173</v>
      </c>
      <c r="O107" s="31"/>
      <c r="P107" s="32">
        <f>7639.5</f>
        <v>7639.5</v>
      </c>
      <c r="Q107" s="32"/>
      <c r="R107" s="32"/>
      <c r="S107" s="34" t="s">
        <v>39</v>
      </c>
      <c r="T107" s="34"/>
      <c r="U107" s="34"/>
      <c r="V107" s="34"/>
      <c r="W107" s="33">
        <f>7639.5</f>
        <v>7639.5</v>
      </c>
      <c r="X107" s="33"/>
    </row>
    <row r="108" spans="1:24" s="1" customFormat="1" ht="13.5" customHeight="1">
      <c r="A108" s="30" t="s">
        <v>111</v>
      </c>
      <c r="B108" s="30"/>
      <c r="C108" s="30"/>
      <c r="D108" s="30"/>
      <c r="E108" s="30"/>
      <c r="F108" s="30"/>
      <c r="G108" s="30"/>
      <c r="H108" s="30"/>
      <c r="I108" s="30"/>
      <c r="J108" s="30"/>
      <c r="K108" s="30"/>
      <c r="L108" s="31" t="s">
        <v>102</v>
      </c>
      <c r="M108" s="31"/>
      <c r="N108" s="31" t="s">
        <v>174</v>
      </c>
      <c r="O108" s="31"/>
      <c r="P108" s="32">
        <f>30000</f>
        <v>30000</v>
      </c>
      <c r="Q108" s="32"/>
      <c r="R108" s="32"/>
      <c r="S108" s="34" t="s">
        <v>39</v>
      </c>
      <c r="T108" s="34"/>
      <c r="U108" s="34"/>
      <c r="V108" s="34"/>
      <c r="W108" s="33">
        <f>30000</f>
        <v>30000</v>
      </c>
      <c r="X108" s="33"/>
    </row>
    <row r="109" spans="1:24" s="1" customFormat="1" ht="15" customHeight="1">
      <c r="A109" s="36" t="s">
        <v>175</v>
      </c>
      <c r="B109" s="36"/>
      <c r="C109" s="36"/>
      <c r="D109" s="36"/>
      <c r="E109" s="36"/>
      <c r="F109" s="36"/>
      <c r="G109" s="36"/>
      <c r="H109" s="36"/>
      <c r="I109" s="36"/>
      <c r="J109" s="36"/>
      <c r="K109" s="36"/>
      <c r="L109" s="37" t="s">
        <v>176</v>
      </c>
      <c r="M109" s="37"/>
      <c r="N109" s="37" t="s">
        <v>36</v>
      </c>
      <c r="O109" s="37"/>
      <c r="P109" s="38">
        <f>-5664304.79</f>
        <v>-5664304.79</v>
      </c>
      <c r="Q109" s="38"/>
      <c r="R109" s="38"/>
      <c r="S109" s="38">
        <f>2753331.54</f>
        <v>2753331.54</v>
      </c>
      <c r="T109" s="38"/>
      <c r="U109" s="38"/>
      <c r="V109" s="38"/>
      <c r="W109" s="39" t="s">
        <v>36</v>
      </c>
      <c r="X109" s="39"/>
    </row>
    <row r="110" spans="1:24" s="1" customFormat="1" ht="13.5" customHeight="1">
      <c r="A110" s="10" t="s">
        <v>10</v>
      </c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</row>
    <row r="111" spans="1:24" s="1" customFormat="1" ht="13.5" customHeight="1">
      <c r="A111" s="12" t="s">
        <v>177</v>
      </c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</row>
    <row r="112" spans="1:24" s="1" customFormat="1" ht="45.75" customHeight="1">
      <c r="A112" s="13" t="s">
        <v>22</v>
      </c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L112" s="13" t="s">
        <v>23</v>
      </c>
      <c r="M112" s="13"/>
      <c r="N112" s="13" t="s">
        <v>178</v>
      </c>
      <c r="O112" s="13"/>
      <c r="P112" s="14" t="s">
        <v>25</v>
      </c>
      <c r="Q112" s="14"/>
      <c r="R112" s="14"/>
      <c r="S112" s="14" t="s">
        <v>26</v>
      </c>
      <c r="T112" s="14"/>
      <c r="U112" s="14"/>
      <c r="V112" s="14"/>
      <c r="W112" s="15" t="s">
        <v>27</v>
      </c>
      <c r="X112" s="15"/>
    </row>
    <row r="113" spans="1:24" s="1" customFormat="1" ht="12.75" customHeight="1">
      <c r="A113" s="16" t="s">
        <v>28</v>
      </c>
      <c r="B113" s="16"/>
      <c r="C113" s="16"/>
      <c r="D113" s="16"/>
      <c r="E113" s="16"/>
      <c r="F113" s="16"/>
      <c r="G113" s="16"/>
      <c r="H113" s="16"/>
      <c r="I113" s="16"/>
      <c r="J113" s="16"/>
      <c r="K113" s="16"/>
      <c r="L113" s="16" t="s">
        <v>29</v>
      </c>
      <c r="M113" s="16"/>
      <c r="N113" s="16" t="s">
        <v>30</v>
      </c>
      <c r="O113" s="16"/>
      <c r="P113" s="17" t="s">
        <v>31</v>
      </c>
      <c r="Q113" s="17"/>
      <c r="R113" s="17"/>
      <c r="S113" s="17" t="s">
        <v>32</v>
      </c>
      <c r="T113" s="17"/>
      <c r="U113" s="17"/>
      <c r="V113" s="17"/>
      <c r="W113" s="18" t="s">
        <v>33</v>
      </c>
      <c r="X113" s="18"/>
    </row>
    <row r="114" spans="1:24" s="1" customFormat="1" ht="13.5" customHeight="1">
      <c r="A114" s="19" t="s">
        <v>179</v>
      </c>
      <c r="B114" s="19"/>
      <c r="C114" s="19"/>
      <c r="D114" s="19"/>
      <c r="E114" s="19"/>
      <c r="F114" s="19"/>
      <c r="G114" s="19"/>
      <c r="H114" s="19"/>
      <c r="I114" s="19"/>
      <c r="J114" s="19"/>
      <c r="K114" s="19"/>
      <c r="L114" s="20" t="s">
        <v>180</v>
      </c>
      <c r="M114" s="20"/>
      <c r="N114" s="20" t="s">
        <v>36</v>
      </c>
      <c r="O114" s="20"/>
      <c r="P114" s="40">
        <f>5664304.79</f>
        <v>5664304.79</v>
      </c>
      <c r="Q114" s="40"/>
      <c r="R114" s="40"/>
      <c r="S114" s="21">
        <f>-2753331.54</f>
        <v>-2753331.54</v>
      </c>
      <c r="T114" s="21"/>
      <c r="U114" s="21"/>
      <c r="V114" s="21"/>
      <c r="W114" s="41" t="s">
        <v>36</v>
      </c>
      <c r="X114" s="41"/>
    </row>
    <row r="115" spans="1:24" s="1" customFormat="1" ht="13.5" customHeight="1">
      <c r="A115" s="42" t="s">
        <v>181</v>
      </c>
      <c r="B115" s="42"/>
      <c r="C115" s="42"/>
      <c r="D115" s="42"/>
      <c r="E115" s="42"/>
      <c r="F115" s="42"/>
      <c r="G115" s="42"/>
      <c r="H115" s="42"/>
      <c r="I115" s="42"/>
      <c r="J115" s="42"/>
      <c r="K115" s="42"/>
      <c r="L115" s="43" t="s">
        <v>10</v>
      </c>
      <c r="M115" s="43"/>
      <c r="N115" s="43" t="s">
        <v>10</v>
      </c>
      <c r="O115" s="43"/>
      <c r="P115" s="44" t="s">
        <v>10</v>
      </c>
      <c r="Q115" s="44"/>
      <c r="R115" s="44"/>
      <c r="S115" s="45" t="s">
        <v>10</v>
      </c>
      <c r="T115" s="45"/>
      <c r="U115" s="45"/>
      <c r="V115" s="45"/>
      <c r="W115" s="46" t="s">
        <v>10</v>
      </c>
      <c r="X115" s="46"/>
    </row>
    <row r="116" spans="1:24" s="1" customFormat="1" ht="13.5" customHeight="1">
      <c r="A116" s="23" t="s">
        <v>182</v>
      </c>
      <c r="B116" s="23"/>
      <c r="C116" s="23"/>
      <c r="D116" s="23"/>
      <c r="E116" s="23"/>
      <c r="F116" s="23"/>
      <c r="G116" s="23"/>
      <c r="H116" s="23"/>
      <c r="I116" s="23"/>
      <c r="J116" s="23"/>
      <c r="K116" s="23"/>
      <c r="L116" s="47" t="s">
        <v>183</v>
      </c>
      <c r="M116" s="47"/>
      <c r="N116" s="24" t="s">
        <v>36</v>
      </c>
      <c r="O116" s="24"/>
      <c r="P116" s="48" t="s">
        <v>39</v>
      </c>
      <c r="Q116" s="48"/>
      <c r="R116" s="48"/>
      <c r="S116" s="26" t="s">
        <v>39</v>
      </c>
      <c r="T116" s="26"/>
      <c r="U116" s="26"/>
      <c r="V116" s="26"/>
      <c r="W116" s="49" t="s">
        <v>39</v>
      </c>
      <c r="X116" s="49"/>
    </row>
    <row r="117" spans="1:24" s="1" customFormat="1" ht="13.5" customHeight="1">
      <c r="A117" s="30" t="s">
        <v>10</v>
      </c>
      <c r="B117" s="30"/>
      <c r="C117" s="30"/>
      <c r="D117" s="30"/>
      <c r="E117" s="30"/>
      <c r="F117" s="30"/>
      <c r="G117" s="30"/>
      <c r="H117" s="30"/>
      <c r="I117" s="30"/>
      <c r="J117" s="30"/>
      <c r="K117" s="30"/>
      <c r="L117" s="31" t="s">
        <v>183</v>
      </c>
      <c r="M117" s="31"/>
      <c r="N117" s="31" t="s">
        <v>10</v>
      </c>
      <c r="O117" s="31"/>
      <c r="P117" s="50" t="s">
        <v>39</v>
      </c>
      <c r="Q117" s="50"/>
      <c r="R117" s="50"/>
      <c r="S117" s="34" t="s">
        <v>39</v>
      </c>
      <c r="T117" s="34"/>
      <c r="U117" s="34"/>
      <c r="V117" s="34"/>
      <c r="W117" s="51" t="s">
        <v>39</v>
      </c>
      <c r="X117" s="51"/>
    </row>
    <row r="118" spans="1:24" s="1" customFormat="1" ht="13.5" customHeight="1">
      <c r="A118" s="30" t="s">
        <v>184</v>
      </c>
      <c r="B118" s="30"/>
      <c r="C118" s="30"/>
      <c r="D118" s="30"/>
      <c r="E118" s="30"/>
      <c r="F118" s="30"/>
      <c r="G118" s="30"/>
      <c r="H118" s="30"/>
      <c r="I118" s="30"/>
      <c r="J118" s="30"/>
      <c r="K118" s="30"/>
      <c r="L118" s="43" t="s">
        <v>185</v>
      </c>
      <c r="M118" s="43"/>
      <c r="N118" s="43" t="s">
        <v>36</v>
      </c>
      <c r="O118" s="43"/>
      <c r="P118" s="44" t="s">
        <v>39</v>
      </c>
      <c r="Q118" s="44"/>
      <c r="R118" s="44"/>
      <c r="S118" s="34" t="s">
        <v>39</v>
      </c>
      <c r="T118" s="34"/>
      <c r="U118" s="34"/>
      <c r="V118" s="34"/>
      <c r="W118" s="46" t="s">
        <v>39</v>
      </c>
      <c r="X118" s="46"/>
    </row>
    <row r="119" spans="1:24" s="1" customFormat="1" ht="13.5" customHeight="1">
      <c r="A119" s="30" t="s">
        <v>10</v>
      </c>
      <c r="B119" s="30"/>
      <c r="C119" s="30"/>
      <c r="D119" s="30"/>
      <c r="E119" s="30"/>
      <c r="F119" s="30"/>
      <c r="G119" s="30"/>
      <c r="H119" s="30"/>
      <c r="I119" s="30"/>
      <c r="J119" s="30"/>
      <c r="K119" s="30"/>
      <c r="L119" s="31" t="s">
        <v>185</v>
      </c>
      <c r="M119" s="31"/>
      <c r="N119" s="31" t="s">
        <v>10</v>
      </c>
      <c r="O119" s="31"/>
      <c r="P119" s="50" t="s">
        <v>39</v>
      </c>
      <c r="Q119" s="50"/>
      <c r="R119" s="50"/>
      <c r="S119" s="34" t="s">
        <v>39</v>
      </c>
      <c r="T119" s="34"/>
      <c r="U119" s="34"/>
      <c r="V119" s="34"/>
      <c r="W119" s="51" t="s">
        <v>39</v>
      </c>
      <c r="X119" s="51"/>
    </row>
    <row r="120" spans="1:24" s="1" customFormat="1" ht="13.5" customHeight="1">
      <c r="A120" s="30" t="s">
        <v>186</v>
      </c>
      <c r="B120" s="30"/>
      <c r="C120" s="30"/>
      <c r="D120" s="30"/>
      <c r="E120" s="30"/>
      <c r="F120" s="30"/>
      <c r="G120" s="30"/>
      <c r="H120" s="30"/>
      <c r="I120" s="30"/>
      <c r="J120" s="30"/>
      <c r="K120" s="30"/>
      <c r="L120" s="31" t="s">
        <v>187</v>
      </c>
      <c r="M120" s="31"/>
      <c r="N120" s="31" t="s">
        <v>188</v>
      </c>
      <c r="O120" s="31"/>
      <c r="P120" s="52">
        <f>5664304.79</f>
        <v>5664304.79</v>
      </c>
      <c r="Q120" s="52"/>
      <c r="R120" s="52"/>
      <c r="S120" s="32">
        <f>-2753331.54</f>
        <v>-2753331.54</v>
      </c>
      <c r="T120" s="32"/>
      <c r="U120" s="32"/>
      <c r="V120" s="32"/>
      <c r="W120" s="53">
        <f>8417636.33</f>
        <v>8417636.33</v>
      </c>
      <c r="X120" s="53"/>
    </row>
    <row r="121" spans="1:24" s="1" customFormat="1" ht="13.5" customHeight="1">
      <c r="A121" s="30" t="s">
        <v>189</v>
      </c>
      <c r="B121" s="30"/>
      <c r="C121" s="30"/>
      <c r="D121" s="30"/>
      <c r="E121" s="30"/>
      <c r="F121" s="30"/>
      <c r="G121" s="30"/>
      <c r="H121" s="30"/>
      <c r="I121" s="30"/>
      <c r="J121" s="30"/>
      <c r="K121" s="30"/>
      <c r="L121" s="31" t="s">
        <v>190</v>
      </c>
      <c r="M121" s="31"/>
      <c r="N121" s="31" t="s">
        <v>191</v>
      </c>
      <c r="O121" s="31"/>
      <c r="P121" s="52">
        <f>-28355770.13</f>
        <v>-28355770.13</v>
      </c>
      <c r="Q121" s="52"/>
      <c r="R121" s="52"/>
      <c r="S121" s="32">
        <f>-18685278.26</f>
        <v>-18685278.26</v>
      </c>
      <c r="T121" s="32"/>
      <c r="U121" s="32"/>
      <c r="V121" s="32"/>
      <c r="W121" s="54" t="s">
        <v>36</v>
      </c>
      <c r="X121" s="54"/>
    </row>
    <row r="122" spans="1:24" s="1" customFormat="1" ht="13.5" customHeight="1">
      <c r="A122" s="30" t="s">
        <v>192</v>
      </c>
      <c r="B122" s="30"/>
      <c r="C122" s="30"/>
      <c r="D122" s="30"/>
      <c r="E122" s="30"/>
      <c r="F122" s="30"/>
      <c r="G122" s="30"/>
      <c r="H122" s="30"/>
      <c r="I122" s="30"/>
      <c r="J122" s="30"/>
      <c r="K122" s="30"/>
      <c r="L122" s="31" t="s">
        <v>193</v>
      </c>
      <c r="M122" s="31"/>
      <c r="N122" s="31" t="s">
        <v>194</v>
      </c>
      <c r="O122" s="31"/>
      <c r="P122" s="52">
        <f>34020074.92</f>
        <v>34020074.92</v>
      </c>
      <c r="Q122" s="52"/>
      <c r="R122" s="52"/>
      <c r="S122" s="32">
        <f>15931946.72</f>
        <v>15931946.72</v>
      </c>
      <c r="T122" s="32"/>
      <c r="U122" s="32"/>
      <c r="V122" s="32"/>
      <c r="W122" s="54" t="s">
        <v>36</v>
      </c>
      <c r="X122" s="54"/>
    </row>
    <row r="123" spans="1:24" s="1" customFormat="1" ht="13.5" customHeight="1">
      <c r="A123" s="55" t="s">
        <v>10</v>
      </c>
      <c r="B123" s="55"/>
      <c r="C123" s="55"/>
      <c r="D123" s="55"/>
      <c r="E123" s="55"/>
      <c r="F123" s="55"/>
      <c r="G123" s="55"/>
      <c r="H123" s="55"/>
      <c r="I123" s="55"/>
      <c r="J123" s="55"/>
      <c r="K123" s="55"/>
      <c r="L123" s="55"/>
      <c r="M123" s="55"/>
      <c r="N123" s="55"/>
      <c r="O123" s="55"/>
      <c r="P123" s="55"/>
      <c r="Q123" s="55"/>
      <c r="R123" s="55"/>
      <c r="S123" s="55"/>
      <c r="T123" s="55"/>
      <c r="U123" s="55"/>
      <c r="V123" s="55"/>
      <c r="W123" s="55"/>
      <c r="X123" s="55"/>
    </row>
    <row r="124" spans="1:24" s="1" customFormat="1" ht="13.5" customHeight="1">
      <c r="A124" s="10" t="s">
        <v>10</v>
      </c>
      <c r="B124" s="10"/>
      <c r="C124" s="10"/>
      <c r="D124" s="10"/>
      <c r="E124" s="10"/>
      <c r="F124" s="10"/>
      <c r="G124" s="10"/>
      <c r="H124" s="10"/>
      <c r="I124" s="56" t="s">
        <v>10</v>
      </c>
      <c r="J124" s="56"/>
      <c r="K124" s="56"/>
      <c r="L124" s="56"/>
      <c r="M124" s="56"/>
      <c r="N124" s="56" t="s">
        <v>195</v>
      </c>
      <c r="O124" s="56"/>
      <c r="P124" s="56"/>
      <c r="Q124" s="56"/>
      <c r="R124" s="10" t="s">
        <v>10</v>
      </c>
      <c r="S124" s="10"/>
      <c r="T124" s="10"/>
      <c r="U124" s="10"/>
      <c r="V124" s="10"/>
      <c r="W124" s="10"/>
      <c r="X124" s="10"/>
    </row>
    <row r="125" spans="1:24" s="1" customFormat="1" ht="13.5" customHeight="1">
      <c r="A125" s="10" t="s">
        <v>10</v>
      </c>
      <c r="B125" s="10"/>
      <c r="C125" s="10"/>
      <c r="D125" s="10"/>
      <c r="E125" s="10"/>
      <c r="F125" s="10"/>
      <c r="G125" s="10"/>
      <c r="H125" s="10"/>
      <c r="I125" s="5" t="s">
        <v>10</v>
      </c>
      <c r="J125" s="57" t="s">
        <v>196</v>
      </c>
      <c r="K125" s="57"/>
      <c r="L125" s="57"/>
      <c r="M125" s="5" t="s">
        <v>10</v>
      </c>
      <c r="N125" s="5" t="s">
        <v>10</v>
      </c>
      <c r="O125" s="57" t="s">
        <v>197</v>
      </c>
      <c r="P125" s="57"/>
      <c r="Q125" s="10" t="s">
        <v>10</v>
      </c>
      <c r="R125" s="10"/>
      <c r="S125" s="10"/>
      <c r="T125" s="10"/>
      <c r="U125" s="10"/>
      <c r="V125" s="10"/>
      <c r="W125" s="10"/>
      <c r="X125" s="10"/>
    </row>
    <row r="126" spans="1:24" s="1" customFormat="1" ht="7.5" customHeight="1">
      <c r="A126" s="10" t="s">
        <v>10</v>
      </c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</row>
    <row r="127" spans="1:24" s="1" customFormat="1" ht="13.5" customHeight="1">
      <c r="A127" s="10" t="s">
        <v>10</v>
      </c>
      <c r="B127" s="10"/>
      <c r="C127" s="10"/>
      <c r="D127" s="10"/>
      <c r="E127" s="10"/>
      <c r="F127" s="10"/>
      <c r="G127" s="10"/>
      <c r="H127" s="10"/>
      <c r="I127" s="56" t="s">
        <v>10</v>
      </c>
      <c r="J127" s="56"/>
      <c r="K127" s="56"/>
      <c r="L127" s="56"/>
      <c r="M127" s="56"/>
      <c r="N127" s="56" t="s">
        <v>198</v>
      </c>
      <c r="O127" s="56"/>
      <c r="P127" s="56"/>
      <c r="Q127" s="56"/>
      <c r="R127" s="10" t="s">
        <v>10</v>
      </c>
      <c r="S127" s="10"/>
      <c r="T127" s="10"/>
      <c r="U127" s="10"/>
      <c r="V127" s="10"/>
      <c r="W127" s="10"/>
      <c r="X127" s="10"/>
    </row>
    <row r="128" spans="1:24" s="1" customFormat="1" ht="13.5" customHeight="1">
      <c r="A128" s="10" t="s">
        <v>10</v>
      </c>
      <c r="B128" s="10"/>
      <c r="C128" s="10"/>
      <c r="D128" s="10"/>
      <c r="E128" s="10"/>
      <c r="F128" s="10"/>
      <c r="G128" s="10"/>
      <c r="H128" s="10"/>
      <c r="I128" s="5" t="s">
        <v>10</v>
      </c>
      <c r="J128" s="57" t="s">
        <v>196</v>
      </c>
      <c r="K128" s="57"/>
      <c r="L128" s="57"/>
      <c r="M128" s="5" t="s">
        <v>10</v>
      </c>
      <c r="N128" s="5" t="s">
        <v>10</v>
      </c>
      <c r="O128" s="57" t="s">
        <v>197</v>
      </c>
      <c r="P128" s="57"/>
      <c r="Q128" s="10" t="s">
        <v>10</v>
      </c>
      <c r="R128" s="10"/>
      <c r="S128" s="10"/>
      <c r="T128" s="10"/>
      <c r="U128" s="10"/>
      <c r="V128" s="10"/>
      <c r="W128" s="10"/>
      <c r="X128" s="10"/>
    </row>
    <row r="129" spans="1:24" s="1" customFormat="1" ht="7.5" customHeight="1">
      <c r="A129" s="10" t="s">
        <v>10</v>
      </c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</row>
    <row r="130" spans="1:24" s="1" customFormat="1" ht="13.5" customHeight="1">
      <c r="A130" s="10" t="s">
        <v>199</v>
      </c>
      <c r="B130" s="10"/>
      <c r="C130" s="56" t="s">
        <v>10</v>
      </c>
      <c r="D130" s="56"/>
      <c r="E130" s="56"/>
      <c r="F130" s="56"/>
      <c r="G130" s="56"/>
      <c r="H130" s="56"/>
      <c r="I130" s="56" t="s">
        <v>10</v>
      </c>
      <c r="J130" s="56"/>
      <c r="K130" s="56"/>
      <c r="L130" s="56"/>
      <c r="M130" s="56"/>
      <c r="N130" s="56" t="s">
        <v>198</v>
      </c>
      <c r="O130" s="56"/>
      <c r="P130" s="56"/>
      <c r="Q130" s="56"/>
      <c r="R130" s="10" t="s">
        <v>10</v>
      </c>
      <c r="S130" s="10"/>
      <c r="T130" s="10"/>
      <c r="U130" s="10"/>
      <c r="V130" s="10"/>
      <c r="W130" s="10"/>
      <c r="X130" s="10"/>
    </row>
    <row r="131" spans="1:24" s="1" customFormat="1" ht="13.5" customHeight="1">
      <c r="A131" s="10" t="s">
        <v>10</v>
      </c>
      <c r="B131" s="10"/>
      <c r="C131" s="5" t="s">
        <v>10</v>
      </c>
      <c r="D131" s="57" t="s">
        <v>200</v>
      </c>
      <c r="E131" s="57"/>
      <c r="F131" s="57"/>
      <c r="G131" s="57"/>
      <c r="H131" s="5" t="s">
        <v>10</v>
      </c>
      <c r="I131" s="5" t="s">
        <v>10</v>
      </c>
      <c r="J131" s="57" t="s">
        <v>196</v>
      </c>
      <c r="K131" s="57"/>
      <c r="L131" s="57"/>
      <c r="M131" s="5" t="s">
        <v>10</v>
      </c>
      <c r="N131" s="5" t="s">
        <v>10</v>
      </c>
      <c r="O131" s="57" t="s">
        <v>197</v>
      </c>
      <c r="P131" s="57"/>
      <c r="Q131" s="10" t="s">
        <v>10</v>
      </c>
      <c r="R131" s="10"/>
      <c r="S131" s="10"/>
      <c r="T131" s="10"/>
      <c r="U131" s="10"/>
      <c r="V131" s="10"/>
      <c r="W131" s="10"/>
      <c r="X131" s="10"/>
    </row>
    <row r="132" spans="1:24" s="1" customFormat="1" ht="15.75" customHeight="1">
      <c r="A132" s="10" t="s">
        <v>10</v>
      </c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</row>
    <row r="133" spans="1:24" s="1" customFormat="1" ht="13.5" customHeight="1">
      <c r="A133" s="58" t="s">
        <v>201</v>
      </c>
      <c r="B133" s="58"/>
      <c r="C133" s="58"/>
      <c r="D133" s="58"/>
      <c r="E133" s="58"/>
      <c r="F133" s="58"/>
      <c r="G133" s="58"/>
      <c r="H133" s="58"/>
      <c r="I133" s="58"/>
      <c r="J133" s="58"/>
      <c r="K133" s="10" t="s">
        <v>10</v>
      </c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</row>
    <row r="134" spans="1:24" s="1" customFormat="1" ht="13.5" customHeight="1">
      <c r="A134" s="9" t="s">
        <v>202</v>
      </c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</row>
  </sheetData>
  <sheetProtection/>
  <mergeCells count="707">
    <mergeCell ref="A133:J133"/>
    <mergeCell ref="K133:X133"/>
    <mergeCell ref="A134:X134"/>
    <mergeCell ref="A131:B131"/>
    <mergeCell ref="D131:G131"/>
    <mergeCell ref="J131:L131"/>
    <mergeCell ref="O131:P131"/>
    <mergeCell ref="Q131:X131"/>
    <mergeCell ref="A132:X132"/>
    <mergeCell ref="A129:X129"/>
    <mergeCell ref="A130:B130"/>
    <mergeCell ref="C130:H130"/>
    <mergeCell ref="I130:M130"/>
    <mergeCell ref="N130:Q130"/>
    <mergeCell ref="R130:X130"/>
    <mergeCell ref="A126:X126"/>
    <mergeCell ref="A127:H127"/>
    <mergeCell ref="I127:M127"/>
    <mergeCell ref="N127:Q127"/>
    <mergeCell ref="R127:X127"/>
    <mergeCell ref="A128:H128"/>
    <mergeCell ref="J128:L128"/>
    <mergeCell ref="O128:P128"/>
    <mergeCell ref="Q128:X128"/>
    <mergeCell ref="A123:X123"/>
    <mergeCell ref="A124:H124"/>
    <mergeCell ref="I124:M124"/>
    <mergeCell ref="N124:Q124"/>
    <mergeCell ref="R124:X124"/>
    <mergeCell ref="A125:H125"/>
    <mergeCell ref="J125:L125"/>
    <mergeCell ref="O125:P125"/>
    <mergeCell ref="Q125:X125"/>
    <mergeCell ref="A122:K122"/>
    <mergeCell ref="L122:M122"/>
    <mergeCell ref="N122:O122"/>
    <mergeCell ref="P122:R122"/>
    <mergeCell ref="S122:V122"/>
    <mergeCell ref="W122:X122"/>
    <mergeCell ref="A121:K121"/>
    <mergeCell ref="L121:M121"/>
    <mergeCell ref="N121:O121"/>
    <mergeCell ref="P121:R121"/>
    <mergeCell ref="S121:V121"/>
    <mergeCell ref="W121:X121"/>
    <mergeCell ref="A120:K120"/>
    <mergeCell ref="L120:M120"/>
    <mergeCell ref="N120:O120"/>
    <mergeCell ref="P120:R120"/>
    <mergeCell ref="S120:V120"/>
    <mergeCell ref="W120:X120"/>
    <mergeCell ref="A119:K119"/>
    <mergeCell ref="L119:M119"/>
    <mergeCell ref="N119:O119"/>
    <mergeCell ref="P119:R119"/>
    <mergeCell ref="S119:V119"/>
    <mergeCell ref="W119:X119"/>
    <mergeCell ref="A118:K118"/>
    <mergeCell ref="L118:M118"/>
    <mergeCell ref="N118:O118"/>
    <mergeCell ref="P118:R118"/>
    <mergeCell ref="S118:V118"/>
    <mergeCell ref="W118:X118"/>
    <mergeCell ref="A117:K117"/>
    <mergeCell ref="L117:M117"/>
    <mergeCell ref="N117:O117"/>
    <mergeCell ref="P117:R117"/>
    <mergeCell ref="S117:V117"/>
    <mergeCell ref="W117:X117"/>
    <mergeCell ref="A116:K116"/>
    <mergeCell ref="L116:M116"/>
    <mergeCell ref="N116:O116"/>
    <mergeCell ref="P116:R116"/>
    <mergeCell ref="S116:V116"/>
    <mergeCell ref="W116:X116"/>
    <mergeCell ref="A115:K115"/>
    <mergeCell ref="L115:M115"/>
    <mergeCell ref="N115:O115"/>
    <mergeCell ref="P115:R115"/>
    <mergeCell ref="S115:V115"/>
    <mergeCell ref="W115:X115"/>
    <mergeCell ref="A114:K114"/>
    <mergeCell ref="L114:M114"/>
    <mergeCell ref="N114:O114"/>
    <mergeCell ref="P114:R114"/>
    <mergeCell ref="S114:V114"/>
    <mergeCell ref="W114:X114"/>
    <mergeCell ref="A113:K113"/>
    <mergeCell ref="L113:M113"/>
    <mergeCell ref="N113:O113"/>
    <mergeCell ref="P113:R113"/>
    <mergeCell ref="S113:V113"/>
    <mergeCell ref="W113:X113"/>
    <mergeCell ref="A110:X110"/>
    <mergeCell ref="A111:X111"/>
    <mergeCell ref="A112:K112"/>
    <mergeCell ref="L112:M112"/>
    <mergeCell ref="N112:O112"/>
    <mergeCell ref="P112:R112"/>
    <mergeCell ref="S112:V112"/>
    <mergeCell ref="W112:X112"/>
    <mergeCell ref="A109:K109"/>
    <mergeCell ref="L109:M109"/>
    <mergeCell ref="N109:O109"/>
    <mergeCell ref="P109:R109"/>
    <mergeCell ref="S109:V109"/>
    <mergeCell ref="W109:X109"/>
    <mergeCell ref="A108:K108"/>
    <mergeCell ref="L108:M108"/>
    <mergeCell ref="N108:O108"/>
    <mergeCell ref="P108:R108"/>
    <mergeCell ref="S108:V108"/>
    <mergeCell ref="W108:X108"/>
    <mergeCell ref="A107:K107"/>
    <mergeCell ref="L107:M107"/>
    <mergeCell ref="N107:O107"/>
    <mergeCell ref="P107:R107"/>
    <mergeCell ref="S107:V107"/>
    <mergeCell ref="W107:X107"/>
    <mergeCell ref="A106:K106"/>
    <mergeCell ref="L106:M106"/>
    <mergeCell ref="N106:O106"/>
    <mergeCell ref="P106:R106"/>
    <mergeCell ref="S106:V106"/>
    <mergeCell ref="W106:X106"/>
    <mergeCell ref="A105:K105"/>
    <mergeCell ref="L105:M105"/>
    <mergeCell ref="N105:O105"/>
    <mergeCell ref="P105:R105"/>
    <mergeCell ref="S105:V105"/>
    <mergeCell ref="W105:X105"/>
    <mergeCell ref="A104:K104"/>
    <mergeCell ref="L104:M104"/>
    <mergeCell ref="N104:O104"/>
    <mergeCell ref="P104:R104"/>
    <mergeCell ref="S104:V104"/>
    <mergeCell ref="W104:X104"/>
    <mergeCell ref="A103:K103"/>
    <mergeCell ref="L103:M103"/>
    <mergeCell ref="N103:O103"/>
    <mergeCell ref="P103:R103"/>
    <mergeCell ref="S103:V103"/>
    <mergeCell ref="W103:X103"/>
    <mergeCell ref="A102:K102"/>
    <mergeCell ref="L102:M102"/>
    <mergeCell ref="N102:O102"/>
    <mergeCell ref="P102:R102"/>
    <mergeCell ref="S102:V102"/>
    <mergeCell ref="W102:X102"/>
    <mergeCell ref="A101:K101"/>
    <mergeCell ref="L101:M101"/>
    <mergeCell ref="N101:O101"/>
    <mergeCell ref="P101:R101"/>
    <mergeCell ref="S101:V101"/>
    <mergeCell ref="W101:X101"/>
    <mergeCell ref="A100:K100"/>
    <mergeCell ref="L100:M100"/>
    <mergeCell ref="N100:O100"/>
    <mergeCell ref="P100:R100"/>
    <mergeCell ref="S100:V100"/>
    <mergeCell ref="W100:X100"/>
    <mergeCell ref="A99:K99"/>
    <mergeCell ref="L99:M99"/>
    <mergeCell ref="N99:O99"/>
    <mergeCell ref="P99:R99"/>
    <mergeCell ref="S99:V99"/>
    <mergeCell ref="W99:X99"/>
    <mergeCell ref="A98:K98"/>
    <mergeCell ref="L98:M98"/>
    <mergeCell ref="N98:O98"/>
    <mergeCell ref="P98:R98"/>
    <mergeCell ref="S98:V98"/>
    <mergeCell ref="W98:X98"/>
    <mergeCell ref="A97:K97"/>
    <mergeCell ref="L97:M97"/>
    <mergeCell ref="N97:O97"/>
    <mergeCell ref="P97:R97"/>
    <mergeCell ref="S97:V97"/>
    <mergeCell ref="W97:X97"/>
    <mergeCell ref="A96:K96"/>
    <mergeCell ref="L96:M96"/>
    <mergeCell ref="N96:O96"/>
    <mergeCell ref="P96:R96"/>
    <mergeCell ref="S96:V96"/>
    <mergeCell ref="W96:X96"/>
    <mergeCell ref="A95:K95"/>
    <mergeCell ref="L95:M95"/>
    <mergeCell ref="N95:O95"/>
    <mergeCell ref="P95:R95"/>
    <mergeCell ref="S95:V95"/>
    <mergeCell ref="W95:X95"/>
    <mergeCell ref="A94:K94"/>
    <mergeCell ref="L94:M94"/>
    <mergeCell ref="N94:O94"/>
    <mergeCell ref="P94:R94"/>
    <mergeCell ref="S94:V94"/>
    <mergeCell ref="W94:X94"/>
    <mergeCell ref="A93:K93"/>
    <mergeCell ref="L93:M93"/>
    <mergeCell ref="N93:O93"/>
    <mergeCell ref="P93:R93"/>
    <mergeCell ref="S93:V93"/>
    <mergeCell ref="W93:X93"/>
    <mergeCell ref="A92:K92"/>
    <mergeCell ref="L92:M92"/>
    <mergeCell ref="N92:O92"/>
    <mergeCell ref="P92:R92"/>
    <mergeCell ref="S92:V92"/>
    <mergeCell ref="W92:X92"/>
    <mergeCell ref="A91:K91"/>
    <mergeCell ref="L91:M91"/>
    <mergeCell ref="N91:O91"/>
    <mergeCell ref="P91:R91"/>
    <mergeCell ref="S91:V91"/>
    <mergeCell ref="W91:X91"/>
    <mergeCell ref="A90:K90"/>
    <mergeCell ref="L90:M90"/>
    <mergeCell ref="N90:O90"/>
    <mergeCell ref="P90:R90"/>
    <mergeCell ref="S90:V90"/>
    <mergeCell ref="W90:X90"/>
    <mergeCell ref="A89:K89"/>
    <mergeCell ref="L89:M89"/>
    <mergeCell ref="N89:O89"/>
    <mergeCell ref="P89:R89"/>
    <mergeCell ref="S89:V89"/>
    <mergeCell ref="W89:X89"/>
    <mergeCell ref="A88:K88"/>
    <mergeCell ref="L88:M88"/>
    <mergeCell ref="N88:O88"/>
    <mergeCell ref="P88:R88"/>
    <mergeCell ref="S88:V88"/>
    <mergeCell ref="W88:X88"/>
    <mergeCell ref="A87:K87"/>
    <mergeCell ref="L87:M87"/>
    <mergeCell ref="N87:O87"/>
    <mergeCell ref="P87:R87"/>
    <mergeCell ref="S87:V87"/>
    <mergeCell ref="W87:X87"/>
    <mergeCell ref="A86:K86"/>
    <mergeCell ref="L86:M86"/>
    <mergeCell ref="N86:O86"/>
    <mergeCell ref="P86:R86"/>
    <mergeCell ref="S86:V86"/>
    <mergeCell ref="W86:X86"/>
    <mergeCell ref="A85:K85"/>
    <mergeCell ref="L85:M85"/>
    <mergeCell ref="N85:O85"/>
    <mergeCell ref="P85:R85"/>
    <mergeCell ref="S85:V85"/>
    <mergeCell ref="W85:X85"/>
    <mergeCell ref="A84:K84"/>
    <mergeCell ref="L84:M84"/>
    <mergeCell ref="N84:O84"/>
    <mergeCell ref="P84:R84"/>
    <mergeCell ref="S84:V84"/>
    <mergeCell ref="W84:X84"/>
    <mergeCell ref="A83:K83"/>
    <mergeCell ref="L83:M83"/>
    <mergeCell ref="N83:O83"/>
    <mergeCell ref="P83:R83"/>
    <mergeCell ref="S83:V83"/>
    <mergeCell ref="W83:X83"/>
    <mergeCell ref="A82:K82"/>
    <mergeCell ref="L82:M82"/>
    <mergeCell ref="N82:O82"/>
    <mergeCell ref="P82:R82"/>
    <mergeCell ref="S82:V82"/>
    <mergeCell ref="W82:X82"/>
    <mergeCell ref="A81:K81"/>
    <mergeCell ref="L81:M81"/>
    <mergeCell ref="N81:O81"/>
    <mergeCell ref="P81:R81"/>
    <mergeCell ref="S81:V81"/>
    <mergeCell ref="W81:X81"/>
    <mergeCell ref="A80:K80"/>
    <mergeCell ref="L80:M80"/>
    <mergeCell ref="N80:O80"/>
    <mergeCell ref="P80:R80"/>
    <mergeCell ref="S80:V80"/>
    <mergeCell ref="W80:X80"/>
    <mergeCell ref="A79:K79"/>
    <mergeCell ref="L79:M79"/>
    <mergeCell ref="N79:O79"/>
    <mergeCell ref="P79:R79"/>
    <mergeCell ref="S79:V79"/>
    <mergeCell ref="W79:X79"/>
    <mergeCell ref="A78:K78"/>
    <mergeCell ref="L78:M78"/>
    <mergeCell ref="N78:O78"/>
    <mergeCell ref="P78:R78"/>
    <mergeCell ref="S78:V78"/>
    <mergeCell ref="W78:X78"/>
    <mergeCell ref="A77:K77"/>
    <mergeCell ref="L77:M77"/>
    <mergeCell ref="N77:O77"/>
    <mergeCell ref="P77:R77"/>
    <mergeCell ref="S77:V77"/>
    <mergeCell ref="W77:X77"/>
    <mergeCell ref="A76:K76"/>
    <mergeCell ref="L76:M76"/>
    <mergeCell ref="N76:O76"/>
    <mergeCell ref="P76:R76"/>
    <mergeCell ref="S76:V76"/>
    <mergeCell ref="W76:X76"/>
    <mergeCell ref="A75:K75"/>
    <mergeCell ref="L75:M75"/>
    <mergeCell ref="N75:O75"/>
    <mergeCell ref="P75:R75"/>
    <mergeCell ref="S75:V75"/>
    <mergeCell ref="W75:X75"/>
    <mergeCell ref="A74:K74"/>
    <mergeCell ref="L74:M74"/>
    <mergeCell ref="N74:O74"/>
    <mergeCell ref="P74:R74"/>
    <mergeCell ref="S74:V74"/>
    <mergeCell ref="W74:X74"/>
    <mergeCell ref="A73:K73"/>
    <mergeCell ref="L73:M73"/>
    <mergeCell ref="N73:O73"/>
    <mergeCell ref="P73:R73"/>
    <mergeCell ref="S73:V73"/>
    <mergeCell ref="W73:X73"/>
    <mergeCell ref="A72:K72"/>
    <mergeCell ref="L72:M72"/>
    <mergeCell ref="N72:O72"/>
    <mergeCell ref="P72:R72"/>
    <mergeCell ref="S72:V72"/>
    <mergeCell ref="W72:X72"/>
    <mergeCell ref="A71:K71"/>
    <mergeCell ref="L71:M71"/>
    <mergeCell ref="N71:O71"/>
    <mergeCell ref="P71:R71"/>
    <mergeCell ref="S71:V71"/>
    <mergeCell ref="W71:X71"/>
    <mergeCell ref="A70:K70"/>
    <mergeCell ref="L70:M70"/>
    <mergeCell ref="N70:O70"/>
    <mergeCell ref="P70:R70"/>
    <mergeCell ref="S70:V70"/>
    <mergeCell ref="W70:X70"/>
    <mergeCell ref="A69:K69"/>
    <mergeCell ref="L69:M69"/>
    <mergeCell ref="N69:O69"/>
    <mergeCell ref="P69:R69"/>
    <mergeCell ref="S69:V69"/>
    <mergeCell ref="W69:X69"/>
    <mergeCell ref="A68:K68"/>
    <mergeCell ref="L68:M68"/>
    <mergeCell ref="N68:O68"/>
    <mergeCell ref="P68:R68"/>
    <mergeCell ref="S68:V68"/>
    <mergeCell ref="W68:X68"/>
    <mergeCell ref="A67:K67"/>
    <mergeCell ref="L67:M67"/>
    <mergeCell ref="N67:O67"/>
    <mergeCell ref="P67:R67"/>
    <mergeCell ref="S67:V67"/>
    <mergeCell ref="W67:X67"/>
    <mergeCell ref="A66:K66"/>
    <mergeCell ref="L66:M66"/>
    <mergeCell ref="N66:O66"/>
    <mergeCell ref="P66:R66"/>
    <mergeCell ref="S66:V66"/>
    <mergeCell ref="W66:X66"/>
    <mergeCell ref="A65:K65"/>
    <mergeCell ref="L65:M65"/>
    <mergeCell ref="N65:O65"/>
    <mergeCell ref="P65:R65"/>
    <mergeCell ref="S65:V65"/>
    <mergeCell ref="W65:X65"/>
    <mergeCell ref="A64:K64"/>
    <mergeCell ref="L64:M64"/>
    <mergeCell ref="N64:O64"/>
    <mergeCell ref="P64:R64"/>
    <mergeCell ref="S64:V64"/>
    <mergeCell ref="W64:X64"/>
    <mergeCell ref="A63:K63"/>
    <mergeCell ref="L63:M63"/>
    <mergeCell ref="N63:O63"/>
    <mergeCell ref="P63:R63"/>
    <mergeCell ref="S63:V63"/>
    <mergeCell ref="W63:X63"/>
    <mergeCell ref="A62:K62"/>
    <mergeCell ref="L62:M62"/>
    <mergeCell ref="N62:O62"/>
    <mergeCell ref="P62:R62"/>
    <mergeCell ref="S62:V62"/>
    <mergeCell ref="W62:X62"/>
    <mergeCell ref="A61:K61"/>
    <mergeCell ref="L61:M61"/>
    <mergeCell ref="N61:O61"/>
    <mergeCell ref="P61:R61"/>
    <mergeCell ref="S61:V61"/>
    <mergeCell ref="W61:X61"/>
    <mergeCell ref="A60:K60"/>
    <mergeCell ref="L60:M60"/>
    <mergeCell ref="N60:O60"/>
    <mergeCell ref="P60:R60"/>
    <mergeCell ref="S60:V60"/>
    <mergeCell ref="W60:X60"/>
    <mergeCell ref="A59:K59"/>
    <mergeCell ref="L59:M59"/>
    <mergeCell ref="N59:O59"/>
    <mergeCell ref="P59:R59"/>
    <mergeCell ref="S59:V59"/>
    <mergeCell ref="W59:X59"/>
    <mergeCell ref="A58:K58"/>
    <mergeCell ref="L58:M58"/>
    <mergeCell ref="N58:O58"/>
    <mergeCell ref="P58:R58"/>
    <mergeCell ref="S58:V58"/>
    <mergeCell ref="W58:X58"/>
    <mergeCell ref="A57:K57"/>
    <mergeCell ref="L57:M57"/>
    <mergeCell ref="N57:O57"/>
    <mergeCell ref="P57:R57"/>
    <mergeCell ref="S57:V57"/>
    <mergeCell ref="W57:X57"/>
    <mergeCell ref="A56:K56"/>
    <mergeCell ref="L56:M56"/>
    <mergeCell ref="N56:O56"/>
    <mergeCell ref="P56:R56"/>
    <mergeCell ref="S56:V56"/>
    <mergeCell ref="W56:X56"/>
    <mergeCell ref="A55:K55"/>
    <mergeCell ref="L55:M55"/>
    <mergeCell ref="N55:O55"/>
    <mergeCell ref="P55:R55"/>
    <mergeCell ref="S55:V55"/>
    <mergeCell ref="W55:X55"/>
    <mergeCell ref="A54:K54"/>
    <mergeCell ref="L54:M54"/>
    <mergeCell ref="N54:O54"/>
    <mergeCell ref="P54:R54"/>
    <mergeCell ref="S54:V54"/>
    <mergeCell ref="W54:X54"/>
    <mergeCell ref="A53:K53"/>
    <mergeCell ref="L53:M53"/>
    <mergeCell ref="N53:O53"/>
    <mergeCell ref="P53:R53"/>
    <mergeCell ref="S53:V53"/>
    <mergeCell ref="W53:X53"/>
    <mergeCell ref="A52:K52"/>
    <mergeCell ref="L52:M52"/>
    <mergeCell ref="N52:O52"/>
    <mergeCell ref="P52:R52"/>
    <mergeCell ref="S52:V52"/>
    <mergeCell ref="W52:X52"/>
    <mergeCell ref="A51:K51"/>
    <mergeCell ref="L51:M51"/>
    <mergeCell ref="N51:O51"/>
    <mergeCell ref="P51:R51"/>
    <mergeCell ref="S51:V51"/>
    <mergeCell ref="W51:X51"/>
    <mergeCell ref="A50:K50"/>
    <mergeCell ref="L50:M50"/>
    <mergeCell ref="N50:O50"/>
    <mergeCell ref="P50:R50"/>
    <mergeCell ref="S50:V50"/>
    <mergeCell ref="W50:X50"/>
    <mergeCell ref="A49:K49"/>
    <mergeCell ref="L49:M49"/>
    <mergeCell ref="N49:O49"/>
    <mergeCell ref="P49:R49"/>
    <mergeCell ref="S49:V49"/>
    <mergeCell ref="W49:X49"/>
    <mergeCell ref="A46:X46"/>
    <mergeCell ref="A47:X47"/>
    <mergeCell ref="A48:K48"/>
    <mergeCell ref="L48:M48"/>
    <mergeCell ref="N48:O48"/>
    <mergeCell ref="P48:R48"/>
    <mergeCell ref="S48:V48"/>
    <mergeCell ref="W48:X48"/>
    <mergeCell ref="A45:K45"/>
    <mergeCell ref="L45:M45"/>
    <mergeCell ref="N45:O45"/>
    <mergeCell ref="P45:R45"/>
    <mergeCell ref="S45:V45"/>
    <mergeCell ref="W45:X45"/>
    <mergeCell ref="A44:K44"/>
    <mergeCell ref="L44:M44"/>
    <mergeCell ref="N44:O44"/>
    <mergeCell ref="P44:R44"/>
    <mergeCell ref="S44:V44"/>
    <mergeCell ref="W44:X44"/>
    <mergeCell ref="A43:K43"/>
    <mergeCell ref="L43:M43"/>
    <mergeCell ref="N43:O43"/>
    <mergeCell ref="P43:R43"/>
    <mergeCell ref="S43:V43"/>
    <mergeCell ref="W43:X43"/>
    <mergeCell ref="A42:K42"/>
    <mergeCell ref="L42:M42"/>
    <mergeCell ref="N42:O42"/>
    <mergeCell ref="P42:R42"/>
    <mergeCell ref="S42:V42"/>
    <mergeCell ref="W42:X42"/>
    <mergeCell ref="A41:K41"/>
    <mergeCell ref="L41:M41"/>
    <mergeCell ref="N41:O41"/>
    <mergeCell ref="P41:R41"/>
    <mergeCell ref="S41:V41"/>
    <mergeCell ref="W41:X41"/>
    <mergeCell ref="A40:K40"/>
    <mergeCell ref="L40:M40"/>
    <mergeCell ref="N40:O40"/>
    <mergeCell ref="P40:R40"/>
    <mergeCell ref="S40:V40"/>
    <mergeCell ref="W40:X40"/>
    <mergeCell ref="A39:K39"/>
    <mergeCell ref="L39:M39"/>
    <mergeCell ref="N39:O39"/>
    <mergeCell ref="P39:R39"/>
    <mergeCell ref="S39:V39"/>
    <mergeCell ref="W39:X39"/>
    <mergeCell ref="A38:K38"/>
    <mergeCell ref="L38:M38"/>
    <mergeCell ref="N38:O38"/>
    <mergeCell ref="P38:R38"/>
    <mergeCell ref="S38:V38"/>
    <mergeCell ref="W38:X38"/>
    <mergeCell ref="A37:K37"/>
    <mergeCell ref="L37:M37"/>
    <mergeCell ref="N37:O37"/>
    <mergeCell ref="P37:R37"/>
    <mergeCell ref="S37:V37"/>
    <mergeCell ref="W37:X37"/>
    <mergeCell ref="A36:K36"/>
    <mergeCell ref="L36:M36"/>
    <mergeCell ref="N36:O36"/>
    <mergeCell ref="P36:R36"/>
    <mergeCell ref="S36:V36"/>
    <mergeCell ref="W36:X36"/>
    <mergeCell ref="A35:K35"/>
    <mergeCell ref="L35:M35"/>
    <mergeCell ref="N35:O35"/>
    <mergeCell ref="P35:R35"/>
    <mergeCell ref="S35:V35"/>
    <mergeCell ref="W35:X35"/>
    <mergeCell ref="A34:K34"/>
    <mergeCell ref="L34:M34"/>
    <mergeCell ref="N34:O34"/>
    <mergeCell ref="P34:R34"/>
    <mergeCell ref="S34:V34"/>
    <mergeCell ref="W34:X34"/>
    <mergeCell ref="A33:K33"/>
    <mergeCell ref="L33:M33"/>
    <mergeCell ref="N33:O33"/>
    <mergeCell ref="P33:R33"/>
    <mergeCell ref="S33:V33"/>
    <mergeCell ref="W33:X33"/>
    <mergeCell ref="A32:K32"/>
    <mergeCell ref="L32:M32"/>
    <mergeCell ref="N32:O32"/>
    <mergeCell ref="P32:R32"/>
    <mergeCell ref="S32:V32"/>
    <mergeCell ref="W32:X32"/>
    <mergeCell ref="A31:K31"/>
    <mergeCell ref="L31:M31"/>
    <mergeCell ref="N31:O31"/>
    <mergeCell ref="P31:R31"/>
    <mergeCell ref="S31:V31"/>
    <mergeCell ref="W31:X31"/>
    <mergeCell ref="A30:K30"/>
    <mergeCell ref="L30:M30"/>
    <mergeCell ref="N30:O30"/>
    <mergeCell ref="P30:R30"/>
    <mergeCell ref="S30:V30"/>
    <mergeCell ref="W30:X30"/>
    <mergeCell ref="A29:K29"/>
    <mergeCell ref="L29:M29"/>
    <mergeCell ref="N29:O29"/>
    <mergeCell ref="P29:R29"/>
    <mergeCell ref="S29:V29"/>
    <mergeCell ref="W29:X29"/>
    <mergeCell ref="A28:K28"/>
    <mergeCell ref="L28:M28"/>
    <mergeCell ref="N28:O28"/>
    <mergeCell ref="P28:R28"/>
    <mergeCell ref="S28:V28"/>
    <mergeCell ref="W28:X28"/>
    <mergeCell ref="A27:K27"/>
    <mergeCell ref="L27:M27"/>
    <mergeCell ref="N27:O27"/>
    <mergeCell ref="P27:R27"/>
    <mergeCell ref="S27:V27"/>
    <mergeCell ref="W27:X27"/>
    <mergeCell ref="A26:K26"/>
    <mergeCell ref="L26:M26"/>
    <mergeCell ref="N26:O26"/>
    <mergeCell ref="P26:R26"/>
    <mergeCell ref="S26:V26"/>
    <mergeCell ref="W26:X26"/>
    <mergeCell ref="A25:K25"/>
    <mergeCell ref="L25:M25"/>
    <mergeCell ref="N25:O25"/>
    <mergeCell ref="P25:R25"/>
    <mergeCell ref="S25:V25"/>
    <mergeCell ref="W25:X25"/>
    <mergeCell ref="A24:K24"/>
    <mergeCell ref="L24:M24"/>
    <mergeCell ref="N24:O24"/>
    <mergeCell ref="P24:R24"/>
    <mergeCell ref="S24:V24"/>
    <mergeCell ref="W24:X24"/>
    <mergeCell ref="A23:K23"/>
    <mergeCell ref="L23:M23"/>
    <mergeCell ref="N23:O23"/>
    <mergeCell ref="P23:R23"/>
    <mergeCell ref="S23:V23"/>
    <mergeCell ref="W23:X23"/>
    <mergeCell ref="A22:K22"/>
    <mergeCell ref="L22:M22"/>
    <mergeCell ref="N22:O22"/>
    <mergeCell ref="P22:R22"/>
    <mergeCell ref="S22:V22"/>
    <mergeCell ref="W22:X22"/>
    <mergeCell ref="A21:K21"/>
    <mergeCell ref="L21:M21"/>
    <mergeCell ref="N21:O21"/>
    <mergeCell ref="P21:R21"/>
    <mergeCell ref="S21:V21"/>
    <mergeCell ref="W21:X21"/>
    <mergeCell ref="A20:K20"/>
    <mergeCell ref="L20:M20"/>
    <mergeCell ref="N20:O20"/>
    <mergeCell ref="P20:R20"/>
    <mergeCell ref="S20:V20"/>
    <mergeCell ref="W20:X20"/>
    <mergeCell ref="A19:K19"/>
    <mergeCell ref="L19:M19"/>
    <mergeCell ref="N19:O19"/>
    <mergeCell ref="P19:R19"/>
    <mergeCell ref="S19:V19"/>
    <mergeCell ref="W19:X19"/>
    <mergeCell ref="A18:K18"/>
    <mergeCell ref="L18:M18"/>
    <mergeCell ref="N18:O18"/>
    <mergeCell ref="P18:R18"/>
    <mergeCell ref="S18:V18"/>
    <mergeCell ref="W18:X18"/>
    <mergeCell ref="A17:K17"/>
    <mergeCell ref="L17:M17"/>
    <mergeCell ref="N17:O17"/>
    <mergeCell ref="P17:R17"/>
    <mergeCell ref="S17:V17"/>
    <mergeCell ref="W17:X17"/>
    <mergeCell ref="A16:K16"/>
    <mergeCell ref="L16:M16"/>
    <mergeCell ref="N16:O16"/>
    <mergeCell ref="P16:R16"/>
    <mergeCell ref="S16:V16"/>
    <mergeCell ref="W16:X16"/>
    <mergeCell ref="A15:K15"/>
    <mergeCell ref="L15:M15"/>
    <mergeCell ref="N15:O15"/>
    <mergeCell ref="P15:R15"/>
    <mergeCell ref="S15:V15"/>
    <mergeCell ref="W15:X15"/>
    <mergeCell ref="A14:K14"/>
    <mergeCell ref="L14:M14"/>
    <mergeCell ref="N14:O14"/>
    <mergeCell ref="P14:R14"/>
    <mergeCell ref="S14:V14"/>
    <mergeCell ref="W14:X14"/>
    <mergeCell ref="A13:K13"/>
    <mergeCell ref="L13:M13"/>
    <mergeCell ref="N13:O13"/>
    <mergeCell ref="P13:R13"/>
    <mergeCell ref="S13:V13"/>
    <mergeCell ref="W13:X13"/>
    <mergeCell ref="A12:K12"/>
    <mergeCell ref="L12:M12"/>
    <mergeCell ref="N12:O12"/>
    <mergeCell ref="P12:R12"/>
    <mergeCell ref="S12:V12"/>
    <mergeCell ref="W12:X12"/>
    <mergeCell ref="A11:K11"/>
    <mergeCell ref="L11:M11"/>
    <mergeCell ref="N11:O11"/>
    <mergeCell ref="P11:R11"/>
    <mergeCell ref="S11:V11"/>
    <mergeCell ref="W11:X11"/>
    <mergeCell ref="A9:X9"/>
    <mergeCell ref="A10:K10"/>
    <mergeCell ref="L10:M10"/>
    <mergeCell ref="N10:O10"/>
    <mergeCell ref="P10:R10"/>
    <mergeCell ref="S10:V10"/>
    <mergeCell ref="W10:X10"/>
    <mergeCell ref="A6:F6"/>
    <mergeCell ref="G6:T6"/>
    <mergeCell ref="U6:W6"/>
    <mergeCell ref="B7:W7"/>
    <mergeCell ref="A8:D8"/>
    <mergeCell ref="E8:S8"/>
    <mergeCell ref="T8:W8"/>
    <mergeCell ref="A1:W1"/>
    <mergeCell ref="A2:W2"/>
    <mergeCell ref="A3:U3"/>
    <mergeCell ref="V3:W3"/>
    <mergeCell ref="A4:E5"/>
    <mergeCell ref="F4:T5"/>
    <mergeCell ref="U4:W4"/>
    <mergeCell ref="U5:W5"/>
  </mergeCells>
  <printOptions/>
  <pageMargins left="0.3937007874015748" right="0" top="0.3937007874015748" bottom="0" header="0.5" footer="0.5"/>
  <pageSetup orientation="landscape" paperSize="9"/>
  <headerFooter alignWithMargins="0">
    <oddFooter>&amp;CСтраница &amp;С из &amp;К</oddFooter>
  </headerFooter>
  <rowBreaks count="2" manualBreakCount="2">
    <brk id="46" max="255" man="1"/>
    <brk id="110" max="255" man="1"/>
  </rowBreaks>
  <colBreaks count="2" manualBreakCount="2">
    <brk id="0" max="65535" man="1"/>
    <brk id="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</cp:lastModifiedBy>
  <dcterms:created xsi:type="dcterms:W3CDTF">2023-09-06T09:11:36Z</dcterms:created>
  <dcterms:modified xsi:type="dcterms:W3CDTF">2023-09-06T09:11:36Z</dcterms:modified>
  <cp:category/>
  <cp:version/>
  <cp:contentType/>
  <cp:contentStatus/>
</cp:coreProperties>
</file>